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21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9" activeTab="21"/>
  </bookViews>
  <sheets>
    <sheet name="Кал 2" sheetId="15" r:id="rId1"/>
    <sheet name="Калинина 2а" sheetId="18" r:id="rId2"/>
    <sheet name="кал3" sheetId="1" r:id="rId3"/>
    <sheet name="Калинина 4а" sheetId="20" r:id="rId4"/>
    <sheet name="кал5" sheetId="2" r:id="rId5"/>
    <sheet name="кал7" sheetId="3" r:id="rId6"/>
    <sheet name="кал9" sheetId="4" r:id="rId7"/>
    <sheet name="кал11" sheetId="5" r:id="rId8"/>
    <sheet name="кал13" sheetId="13" r:id="rId9"/>
    <sheet name="кал14" sheetId="14" r:id="rId10"/>
    <sheet name="кал15" sheetId="9" r:id="rId11"/>
    <sheet name="чап45" sheetId="10" r:id="rId12"/>
    <sheet name="чап47" sheetId="6" r:id="rId13"/>
    <sheet name="чап49" sheetId="12" r:id="rId14"/>
    <sheet name="чап51" sheetId="7" r:id="rId15"/>
    <sheet name="сов37" sheetId="8" r:id="rId16"/>
    <sheet name="Космонавтов 2" sheetId="21" r:id="rId17"/>
    <sheet name="Космонавтов 4" sheetId="19" r:id="rId18"/>
    <sheet name="Космонавтов 6" sheetId="22" r:id="rId19"/>
    <sheet name="Космонавтов 8" sheetId="23" r:id="rId20"/>
    <sheet name="Космонавтов 8А" sheetId="24" r:id="rId21"/>
    <sheet name="Космон 8Б" sheetId="16" r:id="rId22"/>
  </sheets>
  <definedNames>
    <definedName name="_xlnm.Print_Area" localSheetId="0">'Кал 2'!$A$1:$V$29</definedName>
    <definedName name="_xlnm.Print_Area" localSheetId="7">кал11!$A$1:$W$34</definedName>
    <definedName name="_xlnm.Print_Area" localSheetId="9">кал14!$A$1:$V$30</definedName>
    <definedName name="_xlnm.Print_Area" localSheetId="10">кал15!$A$1:$W$34</definedName>
    <definedName name="_xlnm.Print_Area" localSheetId="2">кал3!$A$1:$W$31</definedName>
    <definedName name="_xlnm.Print_Area" localSheetId="4">кал5!$A$1:$V$36</definedName>
    <definedName name="_xlnm.Print_Area" localSheetId="5">кал7!$A$1:$V$33</definedName>
    <definedName name="_xlnm.Print_Area" localSheetId="6">кал9!$A$1:$V$33</definedName>
    <definedName name="_xlnm.Print_Area" localSheetId="1">'Калинина 2а'!$A$1:$W$31</definedName>
    <definedName name="_xlnm.Print_Area" localSheetId="3">'Калинина 4а'!$A$1:$V$27</definedName>
    <definedName name="_xlnm.Print_Area" localSheetId="21">'Космон 8Б'!$A$1:$W$28</definedName>
    <definedName name="_xlnm.Print_Area" localSheetId="16">'Космонавтов 2'!$A$1:$W$30</definedName>
    <definedName name="_xlnm.Print_Area" localSheetId="17">'Космонавтов 4'!$A$1:$V$28</definedName>
    <definedName name="_xlnm.Print_Area" localSheetId="18">'Космонавтов 6'!$A$1:$V$29</definedName>
    <definedName name="_xlnm.Print_Area" localSheetId="19">'Космонавтов 8'!$A$1:$V$30</definedName>
    <definedName name="_xlnm.Print_Area" localSheetId="20">'Космонавтов 8А'!$A$1:$V$28</definedName>
    <definedName name="_xlnm.Print_Area" localSheetId="11">чап45!$A$1:$V$31</definedName>
    <definedName name="_xlnm.Print_Area" localSheetId="12">чап47!$A$1:$V$30</definedName>
    <definedName name="_xlnm.Print_Area" localSheetId="13">чап49!$A$1:$V$33</definedName>
    <definedName name="_xlnm.Print_Area" localSheetId="14">чап51!$A$1:$V$33</definedName>
  </definedNames>
  <calcPr calcId="125725"/>
</workbook>
</file>

<file path=xl/calcChain.xml><?xml version="1.0" encoding="utf-8"?>
<calcChain xmlns="http://schemas.openxmlformats.org/spreadsheetml/2006/main">
  <c r="S31" i="12"/>
  <c r="S29" i="6"/>
  <c r="S27" i="10"/>
  <c r="S12" i="3"/>
  <c r="S12" i="13"/>
  <c r="T12" i="12"/>
  <c r="S12" i="4"/>
  <c r="S12" i="7"/>
  <c r="R12" i="8"/>
  <c r="S12" i="23"/>
  <c r="T12" i="5"/>
  <c r="S12" i="10"/>
  <c r="S12" i="22"/>
  <c r="S15" i="15"/>
  <c r="S8" i="16"/>
  <c r="S15"/>
  <c r="O12" i="3"/>
  <c r="O12" i="13"/>
  <c r="O12" i="12"/>
  <c r="O12" i="4"/>
  <c r="O12" i="7"/>
  <c r="N12" i="8"/>
  <c r="P12" i="21"/>
  <c r="O12" i="23"/>
  <c r="O12" i="10"/>
  <c r="O12" i="22"/>
  <c r="T12" i="16"/>
  <c r="S12" i="24"/>
  <c r="S13" i="23"/>
  <c r="S13" i="22"/>
  <c r="S12" i="19"/>
  <c r="T12" i="9"/>
  <c r="S13" i="13"/>
  <c r="T13" i="5"/>
  <c r="S13" i="4"/>
  <c r="S13" i="3"/>
  <c r="S12" i="2"/>
  <c r="S12" i="20"/>
  <c r="T12" i="1"/>
  <c r="T12" i="18"/>
  <c r="S12" i="15"/>
  <c r="S13" i="7"/>
  <c r="S13" i="12"/>
  <c r="S12" i="6"/>
  <c r="S13" i="10"/>
  <c r="N7" i="18"/>
  <c r="N7" i="16"/>
  <c r="N7" i="1"/>
  <c r="K12" i="23"/>
  <c r="K26" i="21"/>
  <c r="K30" i="9"/>
  <c r="K30" i="3"/>
  <c r="K26" i="20"/>
  <c r="K29" i="1"/>
  <c r="K12" i="22"/>
  <c r="K12" i="7"/>
  <c r="J12" i="8"/>
  <c r="K12" i="5"/>
  <c r="K12" i="10"/>
  <c r="J22" i="14" l="1"/>
  <c r="J21"/>
  <c r="J20"/>
  <c r="S18"/>
  <c r="R18"/>
  <c r="Q18"/>
  <c r="O18"/>
  <c r="N18"/>
  <c r="M18"/>
  <c r="K18"/>
  <c r="J18"/>
  <c r="N22" l="1"/>
  <c r="M22"/>
  <c r="K22"/>
  <c r="K21"/>
  <c r="M21" s="1"/>
  <c r="N21" s="1"/>
  <c r="N20"/>
  <c r="O20" s="1"/>
  <c r="Q20" s="1"/>
  <c r="M20"/>
  <c r="K20"/>
  <c r="M17"/>
  <c r="N17" s="1"/>
  <c r="K17"/>
  <c r="J17"/>
  <c r="S16"/>
  <c r="R16"/>
  <c r="Q16"/>
  <c r="O16"/>
  <c r="N16"/>
  <c r="M16"/>
  <c r="K16"/>
  <c r="J16"/>
  <c r="N10"/>
  <c r="M10"/>
  <c r="K10"/>
  <c r="J10"/>
  <c r="S9"/>
  <c r="R9"/>
  <c r="Q9"/>
  <c r="O9"/>
  <c r="N9"/>
  <c r="M9"/>
  <c r="K9"/>
  <c r="J9"/>
  <c r="S8"/>
  <c r="R8"/>
  <c r="Q8"/>
  <c r="O8"/>
  <c r="N8"/>
  <c r="M8"/>
  <c r="K8"/>
  <c r="J8"/>
  <c r="J7"/>
  <c r="K7" s="1"/>
  <c r="M7" s="1"/>
  <c r="N7" s="1"/>
  <c r="I11" i="24"/>
  <c r="I11" i="23"/>
  <c r="I11" i="22"/>
  <c r="I7" i="2"/>
  <c r="J7" s="1"/>
  <c r="K7" s="1"/>
  <c r="I10"/>
  <c r="J10" s="1"/>
  <c r="K10" s="1"/>
  <c r="M10" s="1"/>
  <c r="N10" s="1"/>
  <c r="O10" s="1"/>
  <c r="G12" i="23" l="1"/>
  <c r="G21" i="20" l="1"/>
  <c r="H21" s="1"/>
  <c r="G20"/>
  <c r="G19"/>
  <c r="I19" s="1"/>
  <c r="S17"/>
  <c r="R17"/>
  <c r="Q17"/>
  <c r="O17"/>
  <c r="N17"/>
  <c r="M17"/>
  <c r="K17"/>
  <c r="J17"/>
  <c r="I17"/>
  <c r="G17"/>
  <c r="K16"/>
  <c r="I16"/>
  <c r="G16"/>
  <c r="S15"/>
  <c r="R15"/>
  <c r="Q15"/>
  <c r="O15"/>
  <c r="N15"/>
  <c r="M15"/>
  <c r="K15"/>
  <c r="J15"/>
  <c r="I15"/>
  <c r="G15"/>
  <c r="S9"/>
  <c r="R9"/>
  <c r="Q9"/>
  <c r="O9"/>
  <c r="N9"/>
  <c r="M9"/>
  <c r="J9"/>
  <c r="I9"/>
  <c r="G9"/>
  <c r="S8"/>
  <c r="R8"/>
  <c r="Q8"/>
  <c r="O8"/>
  <c r="N8"/>
  <c r="M8"/>
  <c r="K8"/>
  <c r="J8"/>
  <c r="I8"/>
  <c r="G8"/>
  <c r="G7"/>
  <c r="G22" i="6"/>
  <c r="H22" s="1"/>
  <c r="G21"/>
  <c r="I21" s="1"/>
  <c r="G20"/>
  <c r="I20" s="1"/>
  <c r="G19"/>
  <c r="I19" s="1"/>
  <c r="G16"/>
  <c r="S17"/>
  <c r="R17"/>
  <c r="Q17"/>
  <c r="O17"/>
  <c r="N17"/>
  <c r="M17"/>
  <c r="K17"/>
  <c r="J17"/>
  <c r="I17"/>
  <c r="G17"/>
  <c r="E16"/>
  <c r="D16"/>
  <c r="S15"/>
  <c r="R15"/>
  <c r="Q15"/>
  <c r="O15"/>
  <c r="N15"/>
  <c r="M15"/>
  <c r="K15"/>
  <c r="J15"/>
  <c r="I15"/>
  <c r="G15"/>
  <c r="G10"/>
  <c r="I10" s="1"/>
  <c r="S9"/>
  <c r="R9"/>
  <c r="Q9"/>
  <c r="O9"/>
  <c r="N9"/>
  <c r="M9"/>
  <c r="K9"/>
  <c r="J9"/>
  <c r="I9"/>
  <c r="G9"/>
  <c r="S8"/>
  <c r="R8"/>
  <c r="Q8"/>
  <c r="O8"/>
  <c r="N8"/>
  <c r="M8"/>
  <c r="K8"/>
  <c r="J8"/>
  <c r="I8"/>
  <c r="G8"/>
  <c r="G7"/>
  <c r="D21" i="2"/>
  <c r="E21" s="1"/>
  <c r="G6" i="6" l="1"/>
  <c r="I22"/>
  <c r="J22" s="1"/>
  <c r="K22" s="1"/>
  <c r="M22" s="1"/>
  <c r="N22" s="1"/>
  <c r="O22" s="1"/>
  <c r="I7"/>
  <c r="I6" s="1"/>
  <c r="I21" i="20"/>
  <c r="J21" s="1"/>
  <c r="K21" s="1"/>
  <c r="L22" i="6" l="1"/>
  <c r="L21" i="20"/>
  <c r="M21"/>
  <c r="N21" s="1"/>
  <c r="O21" s="1"/>
  <c r="P22" i="6"/>
  <c r="Q22"/>
  <c r="R22" s="1"/>
  <c r="S22" s="1"/>
  <c r="T22" s="1"/>
  <c r="U22" l="1"/>
  <c r="P21" i="20"/>
  <c r="U21" s="1"/>
  <c r="Q21"/>
  <c r="R21" s="1"/>
  <c r="S21" s="1"/>
  <c r="T21" s="1"/>
  <c r="F22" i="18" l="1"/>
  <c r="G22" s="1"/>
  <c r="G20"/>
  <c r="I20" s="1"/>
  <c r="J20" s="1"/>
  <c r="F20"/>
  <c r="F19"/>
  <c r="G19" s="1"/>
  <c r="I19" s="1"/>
  <c r="P17"/>
  <c r="O17"/>
  <c r="S17"/>
  <c r="T17"/>
  <c r="R17"/>
  <c r="N17"/>
  <c r="K17"/>
  <c r="J17"/>
  <c r="I17"/>
  <c r="G17"/>
  <c r="F17"/>
  <c r="G16"/>
  <c r="I16" s="1"/>
  <c r="J16" s="1"/>
  <c r="F16"/>
  <c r="T15"/>
  <c r="R15"/>
  <c r="P15"/>
  <c r="O15"/>
  <c r="N15"/>
  <c r="K15"/>
  <c r="J15"/>
  <c r="I15"/>
  <c r="G15"/>
  <c r="F15"/>
  <c r="F9"/>
  <c r="G8"/>
  <c r="F8"/>
  <c r="F7"/>
  <c r="T9"/>
  <c r="S9"/>
  <c r="R9"/>
  <c r="P9"/>
  <c r="O9"/>
  <c r="N9"/>
  <c r="K9"/>
  <c r="J9"/>
  <c r="I9"/>
  <c r="G9"/>
  <c r="T8"/>
  <c r="R8"/>
  <c r="P8"/>
  <c r="O8"/>
  <c r="N8"/>
  <c r="K8"/>
  <c r="J8"/>
  <c r="I8"/>
  <c r="F22" i="16"/>
  <c r="G22" s="1"/>
  <c r="F20"/>
  <c r="G20" s="1"/>
  <c r="F19"/>
  <c r="G19" s="1"/>
  <c r="S17"/>
  <c r="T17"/>
  <c r="R17"/>
  <c r="P17"/>
  <c r="O17"/>
  <c r="N17"/>
  <c r="K17"/>
  <c r="J17"/>
  <c r="I17"/>
  <c r="G17"/>
  <c r="F17"/>
  <c r="F16"/>
  <c r="G16" s="1"/>
  <c r="F15"/>
  <c r="T9"/>
  <c r="S9"/>
  <c r="R9"/>
  <c r="P9"/>
  <c r="O9"/>
  <c r="N9"/>
  <c r="K9"/>
  <c r="J9"/>
  <c r="I9"/>
  <c r="G9"/>
  <c r="F9"/>
  <c r="T8"/>
  <c r="R8"/>
  <c r="P8"/>
  <c r="O8"/>
  <c r="N8"/>
  <c r="K8"/>
  <c r="J8"/>
  <c r="I8"/>
  <c r="G8"/>
  <c r="F8"/>
  <c r="F7"/>
  <c r="G7" s="1"/>
  <c r="T15"/>
  <c r="R15"/>
  <c r="P15"/>
  <c r="O15"/>
  <c r="N15"/>
  <c r="K15"/>
  <c r="J15"/>
  <c r="I15"/>
  <c r="G15"/>
  <c r="F22" i="19"/>
  <c r="G22" s="1"/>
  <c r="H22" s="1"/>
  <c r="F20"/>
  <c r="G20" s="1"/>
  <c r="I20" s="1"/>
  <c r="J20" s="1"/>
  <c r="K20" s="1"/>
  <c r="M20" s="1"/>
  <c r="N20" s="1"/>
  <c r="O20" s="1"/>
  <c r="Q20" s="1"/>
  <c r="R20" s="1"/>
  <c r="S20" s="1"/>
  <c r="F19"/>
  <c r="G19" s="1"/>
  <c r="I19" s="1"/>
  <c r="F16"/>
  <c r="F15"/>
  <c r="F8"/>
  <c r="F7"/>
  <c r="G7" s="1"/>
  <c r="I7" s="1"/>
  <c r="N15"/>
  <c r="M15"/>
  <c r="K15"/>
  <c r="J15"/>
  <c r="I15"/>
  <c r="G15"/>
  <c r="G16"/>
  <c r="I16" s="1"/>
  <c r="S15"/>
  <c r="R15"/>
  <c r="Q15"/>
  <c r="O15"/>
  <c r="S8"/>
  <c r="R8"/>
  <c r="Q8"/>
  <c r="O8"/>
  <c r="N8"/>
  <c r="M8"/>
  <c r="K8"/>
  <c r="J8"/>
  <c r="I8"/>
  <c r="G8"/>
  <c r="H22" i="16" l="1"/>
  <c r="I22"/>
  <c r="J22" s="1"/>
  <c r="K22" s="1"/>
  <c r="I22" i="19"/>
  <c r="J22" s="1"/>
  <c r="K22" s="1"/>
  <c r="H22" i="18"/>
  <c r="I22"/>
  <c r="J22" s="1"/>
  <c r="K22" s="1"/>
  <c r="F22" i="15"/>
  <c r="G22" s="1"/>
  <c r="F20"/>
  <c r="F19"/>
  <c r="S17"/>
  <c r="R17"/>
  <c r="Q17"/>
  <c r="O17"/>
  <c r="N17"/>
  <c r="M17"/>
  <c r="K17"/>
  <c r="J17"/>
  <c r="I17"/>
  <c r="G17"/>
  <c r="F17"/>
  <c r="G16"/>
  <c r="I16" s="1"/>
  <c r="J16" s="1"/>
  <c r="F16"/>
  <c r="F15"/>
  <c r="S9"/>
  <c r="R9"/>
  <c r="Q9"/>
  <c r="O9"/>
  <c r="N9"/>
  <c r="M9"/>
  <c r="K9"/>
  <c r="J9"/>
  <c r="I9"/>
  <c r="G9"/>
  <c r="F9"/>
  <c r="S8"/>
  <c r="Q8"/>
  <c r="O8"/>
  <c r="N8"/>
  <c r="M8"/>
  <c r="K8"/>
  <c r="J8"/>
  <c r="I8"/>
  <c r="G8"/>
  <c r="F8"/>
  <c r="F7"/>
  <c r="F22" i="1"/>
  <c r="G22" s="1"/>
  <c r="F21"/>
  <c r="F20"/>
  <c r="F19"/>
  <c r="T17"/>
  <c r="S17"/>
  <c r="R17"/>
  <c r="O17"/>
  <c r="N17"/>
  <c r="K17"/>
  <c r="J17"/>
  <c r="I17"/>
  <c r="G17"/>
  <c r="F17"/>
  <c r="F16"/>
  <c r="T15"/>
  <c r="S15"/>
  <c r="R15"/>
  <c r="P15"/>
  <c r="O15"/>
  <c r="N15"/>
  <c r="K15"/>
  <c r="J15"/>
  <c r="I15"/>
  <c r="G15"/>
  <c r="F15"/>
  <c r="G7" i="24"/>
  <c r="D7"/>
  <c r="F10" i="1"/>
  <c r="T9"/>
  <c r="S9"/>
  <c r="R9"/>
  <c r="O9"/>
  <c r="N9"/>
  <c r="K9"/>
  <c r="J9"/>
  <c r="I9"/>
  <c r="G9"/>
  <c r="F9"/>
  <c r="T8"/>
  <c r="S8"/>
  <c r="R8"/>
  <c r="P8"/>
  <c r="O8"/>
  <c r="N8"/>
  <c r="K8"/>
  <c r="J8"/>
  <c r="I8"/>
  <c r="G8"/>
  <c r="F8"/>
  <c r="F7"/>
  <c r="F6" s="1"/>
  <c r="G21" i="24"/>
  <c r="H21" s="1"/>
  <c r="G20"/>
  <c r="G19"/>
  <c r="S17"/>
  <c r="R17"/>
  <c r="Q17"/>
  <c r="O17"/>
  <c r="N17"/>
  <c r="M17"/>
  <c r="J17"/>
  <c r="G17"/>
  <c r="G16"/>
  <c r="S15"/>
  <c r="R15"/>
  <c r="O15"/>
  <c r="N15"/>
  <c r="M15"/>
  <c r="K15"/>
  <c r="J15"/>
  <c r="I15"/>
  <c r="G15"/>
  <c r="O9"/>
  <c r="N9"/>
  <c r="M9"/>
  <c r="J9"/>
  <c r="G9"/>
  <c r="S8"/>
  <c r="R8"/>
  <c r="O8"/>
  <c r="N8"/>
  <c r="M8"/>
  <c r="K8"/>
  <c r="J8"/>
  <c r="I8"/>
  <c r="G8"/>
  <c r="T26"/>
  <c r="P26"/>
  <c r="L26"/>
  <c r="H26"/>
  <c r="T25"/>
  <c r="P25"/>
  <c r="L25"/>
  <c r="H25"/>
  <c r="T24"/>
  <c r="P24"/>
  <c r="L24"/>
  <c r="H24"/>
  <c r="S23"/>
  <c r="R23"/>
  <c r="Q23"/>
  <c r="O23"/>
  <c r="N23"/>
  <c r="M23"/>
  <c r="K23"/>
  <c r="J23"/>
  <c r="I23"/>
  <c r="G23"/>
  <c r="E23"/>
  <c r="D23"/>
  <c r="G22"/>
  <c r="I22" s="1"/>
  <c r="E22"/>
  <c r="D22"/>
  <c r="H22" s="1"/>
  <c r="I20"/>
  <c r="E20"/>
  <c r="D20"/>
  <c r="I19"/>
  <c r="E19"/>
  <c r="D19"/>
  <c r="T18"/>
  <c r="P18"/>
  <c r="L18"/>
  <c r="H18"/>
  <c r="T17"/>
  <c r="L17"/>
  <c r="D17"/>
  <c r="H17" s="1"/>
  <c r="I16"/>
  <c r="E16"/>
  <c r="D16"/>
  <c r="L15"/>
  <c r="D15"/>
  <c r="H15" s="1"/>
  <c r="T11"/>
  <c r="P11"/>
  <c r="L11"/>
  <c r="H11"/>
  <c r="S10"/>
  <c r="R10"/>
  <c r="Q10"/>
  <c r="O10"/>
  <c r="N10"/>
  <c r="M10"/>
  <c r="K10"/>
  <c r="J10"/>
  <c r="I10"/>
  <c r="G10"/>
  <c r="E10"/>
  <c r="D10"/>
  <c r="R9"/>
  <c r="S9" s="1"/>
  <c r="Q9"/>
  <c r="L9"/>
  <c r="D9"/>
  <c r="H9" s="1"/>
  <c r="Q8"/>
  <c r="T8" s="1"/>
  <c r="L8"/>
  <c r="D8"/>
  <c r="H8" s="1"/>
  <c r="E7"/>
  <c r="E6" s="1"/>
  <c r="E13" s="1"/>
  <c r="T27" i="23"/>
  <c r="P27"/>
  <c r="L27"/>
  <c r="H27"/>
  <c r="T26"/>
  <c r="P26"/>
  <c r="L26"/>
  <c r="H26"/>
  <c r="T25"/>
  <c r="P25"/>
  <c r="L25"/>
  <c r="H25"/>
  <c r="S24"/>
  <c r="R24"/>
  <c r="Q24"/>
  <c r="O24"/>
  <c r="N24"/>
  <c r="M24"/>
  <c r="K24"/>
  <c r="J24"/>
  <c r="I24"/>
  <c r="G24"/>
  <c r="E24"/>
  <c r="D24"/>
  <c r="T23"/>
  <c r="P23"/>
  <c r="L23"/>
  <c r="T19"/>
  <c r="P19"/>
  <c r="L19"/>
  <c r="H19"/>
  <c r="U12"/>
  <c r="T11"/>
  <c r="P11"/>
  <c r="L11"/>
  <c r="H11"/>
  <c r="K4"/>
  <c r="T27" i="22"/>
  <c r="P27"/>
  <c r="L27"/>
  <c r="H27"/>
  <c r="T26"/>
  <c r="P26"/>
  <c r="L26"/>
  <c r="H26"/>
  <c r="T25"/>
  <c r="P25"/>
  <c r="L25"/>
  <c r="H25"/>
  <c r="S24"/>
  <c r="R24"/>
  <c r="Q24"/>
  <c r="T24" s="1"/>
  <c r="O24"/>
  <c r="N24"/>
  <c r="M24"/>
  <c r="K24"/>
  <c r="J24"/>
  <c r="I24"/>
  <c r="L24" s="1"/>
  <c r="G24"/>
  <c r="E24"/>
  <c r="D24"/>
  <c r="T23"/>
  <c r="P23"/>
  <c r="T19"/>
  <c r="P19"/>
  <c r="L19"/>
  <c r="H19"/>
  <c r="U12"/>
  <c r="T11"/>
  <c r="P11"/>
  <c r="L11"/>
  <c r="H11"/>
  <c r="K4"/>
  <c r="J23" s="1"/>
  <c r="H19" i="24" l="1"/>
  <c r="E14"/>
  <c r="P8"/>
  <c r="U8" s="1"/>
  <c r="T10"/>
  <c r="P9"/>
  <c r="P15"/>
  <c r="P17"/>
  <c r="G6"/>
  <c r="G13" s="1"/>
  <c r="P24" i="23"/>
  <c r="U25"/>
  <c r="U27"/>
  <c r="U19" i="22"/>
  <c r="H24"/>
  <c r="U24" s="1"/>
  <c r="U26"/>
  <c r="L24" i="23"/>
  <c r="I7" i="24"/>
  <c r="T9"/>
  <c r="U9" s="1"/>
  <c r="P10"/>
  <c r="H16"/>
  <c r="U24"/>
  <c r="U26"/>
  <c r="Q15"/>
  <c r="T15" s="1"/>
  <c r="U15" s="1"/>
  <c r="U18"/>
  <c r="L23"/>
  <c r="T24" i="23"/>
  <c r="H20" i="24"/>
  <c r="H24" i="23"/>
  <c r="U26"/>
  <c r="D6" i="24"/>
  <c r="D13" s="1"/>
  <c r="L10"/>
  <c r="T23"/>
  <c r="U25" i="22"/>
  <c r="U27"/>
  <c r="H23" i="24"/>
  <c r="U25"/>
  <c r="P24" i="22"/>
  <c r="U19" i="23"/>
  <c r="H7" i="24"/>
  <c r="U17"/>
  <c r="G14"/>
  <c r="H10"/>
  <c r="D14"/>
  <c r="P23"/>
  <c r="L22" i="16"/>
  <c r="N22"/>
  <c r="O22" s="1"/>
  <c r="P22" s="1"/>
  <c r="I21" i="24"/>
  <c r="G23" i="23"/>
  <c r="G21"/>
  <c r="G20"/>
  <c r="I20" s="1"/>
  <c r="G17"/>
  <c r="G7"/>
  <c r="G8"/>
  <c r="I8"/>
  <c r="J8"/>
  <c r="K8"/>
  <c r="M8"/>
  <c r="N8"/>
  <c r="P8" s="1"/>
  <c r="O8"/>
  <c r="Q8" s="1"/>
  <c r="R8"/>
  <c r="S8"/>
  <c r="G9"/>
  <c r="I9"/>
  <c r="J9"/>
  <c r="K9"/>
  <c r="M9"/>
  <c r="N9"/>
  <c r="O9"/>
  <c r="Q9"/>
  <c r="R9"/>
  <c r="S9"/>
  <c r="G16"/>
  <c r="I16"/>
  <c r="J16"/>
  <c r="K16"/>
  <c r="M16"/>
  <c r="N16"/>
  <c r="O16"/>
  <c r="Q16" s="1"/>
  <c r="R16"/>
  <c r="S16"/>
  <c r="G18"/>
  <c r="I18"/>
  <c r="J18"/>
  <c r="K18"/>
  <c r="M18"/>
  <c r="N18"/>
  <c r="O18"/>
  <c r="Q18"/>
  <c r="R18"/>
  <c r="S18"/>
  <c r="G22"/>
  <c r="G7" i="22"/>
  <c r="G8"/>
  <c r="I8"/>
  <c r="J8"/>
  <c r="K8"/>
  <c r="M8"/>
  <c r="N8"/>
  <c r="O8"/>
  <c r="Q8"/>
  <c r="R8"/>
  <c r="S8"/>
  <c r="G9"/>
  <c r="I9"/>
  <c r="L9" s="1"/>
  <c r="J9"/>
  <c r="K9"/>
  <c r="M9"/>
  <c r="N9"/>
  <c r="Q9"/>
  <c r="R9"/>
  <c r="S9"/>
  <c r="G16"/>
  <c r="I16"/>
  <c r="J16"/>
  <c r="K16" s="1"/>
  <c r="M16" s="1"/>
  <c r="G17"/>
  <c r="I17"/>
  <c r="G18"/>
  <c r="I18"/>
  <c r="J18"/>
  <c r="K18"/>
  <c r="M18"/>
  <c r="N18"/>
  <c r="Q18"/>
  <c r="R18"/>
  <c r="S18"/>
  <c r="G20"/>
  <c r="I20" s="1"/>
  <c r="G21"/>
  <c r="I21"/>
  <c r="J21" s="1"/>
  <c r="K21" s="1"/>
  <c r="M21" s="1"/>
  <c r="G22"/>
  <c r="L22" i="19"/>
  <c r="M22"/>
  <c r="N22" s="1"/>
  <c r="O22" s="1"/>
  <c r="H22" i="1"/>
  <c r="I22"/>
  <c r="J22" s="1"/>
  <c r="K22" s="1"/>
  <c r="U8"/>
  <c r="L22" i="18"/>
  <c r="N22"/>
  <c r="O22" s="1"/>
  <c r="P22" s="1"/>
  <c r="H22" i="15"/>
  <c r="I22"/>
  <c r="J22" s="1"/>
  <c r="K22" s="1"/>
  <c r="H6" i="24"/>
  <c r="H13" s="1"/>
  <c r="J7"/>
  <c r="I6"/>
  <c r="I13" s="1"/>
  <c r="J16"/>
  <c r="I14"/>
  <c r="J19"/>
  <c r="K19" s="1"/>
  <c r="M19" s="1"/>
  <c r="J20"/>
  <c r="K20" s="1"/>
  <c r="M20" s="1"/>
  <c r="J22"/>
  <c r="K22" s="1"/>
  <c r="M22" s="1"/>
  <c r="U11"/>
  <c r="D7" i="23"/>
  <c r="D8"/>
  <c r="D9"/>
  <c r="H9" s="1"/>
  <c r="D10"/>
  <c r="E10"/>
  <c r="G10"/>
  <c r="I10"/>
  <c r="J10"/>
  <c r="K10"/>
  <c r="M10"/>
  <c r="N10"/>
  <c r="O10"/>
  <c r="Q10"/>
  <c r="R10"/>
  <c r="S10"/>
  <c r="U11"/>
  <c r="D16"/>
  <c r="D17"/>
  <c r="E17"/>
  <c r="D18"/>
  <c r="H18" s="1"/>
  <c r="D20"/>
  <c r="E20"/>
  <c r="D21"/>
  <c r="E21"/>
  <c r="I21"/>
  <c r="D23"/>
  <c r="E23"/>
  <c r="N16" i="22"/>
  <c r="D7"/>
  <c r="D8"/>
  <c r="H8" s="1"/>
  <c r="D9"/>
  <c r="D10"/>
  <c r="E10"/>
  <c r="G10"/>
  <c r="I10"/>
  <c r="J10"/>
  <c r="K10"/>
  <c r="M10"/>
  <c r="N10"/>
  <c r="O10"/>
  <c r="Q10"/>
  <c r="R10"/>
  <c r="S10"/>
  <c r="U11"/>
  <c r="D16"/>
  <c r="D17"/>
  <c r="E17"/>
  <c r="D18"/>
  <c r="D20"/>
  <c r="E20"/>
  <c r="D21"/>
  <c r="E21"/>
  <c r="D23"/>
  <c r="E23"/>
  <c r="G23"/>
  <c r="I23"/>
  <c r="L23" s="1"/>
  <c r="H14" i="24" l="1"/>
  <c r="H27" s="1"/>
  <c r="U23"/>
  <c r="U24" i="23"/>
  <c r="L8" i="22"/>
  <c r="G6"/>
  <c r="G6" i="23"/>
  <c r="D6"/>
  <c r="D14" s="1"/>
  <c r="U10" i="24"/>
  <c r="R22" i="16"/>
  <c r="S22" s="1"/>
  <c r="T22" s="1"/>
  <c r="U22" s="1"/>
  <c r="Q22"/>
  <c r="J21" i="24"/>
  <c r="K21" s="1"/>
  <c r="M21" s="1"/>
  <c r="N21" s="1"/>
  <c r="O21" s="1"/>
  <c r="H22" i="23"/>
  <c r="I22"/>
  <c r="T18"/>
  <c r="P18"/>
  <c r="L18"/>
  <c r="T16"/>
  <c r="P16"/>
  <c r="L16"/>
  <c r="T9"/>
  <c r="P9"/>
  <c r="L9"/>
  <c r="T8"/>
  <c r="L8"/>
  <c r="H22" i="22"/>
  <c r="I22"/>
  <c r="T18"/>
  <c r="P18"/>
  <c r="L18"/>
  <c r="T9"/>
  <c r="P9"/>
  <c r="T8"/>
  <c r="P8"/>
  <c r="P22" i="19"/>
  <c r="U22" s="1"/>
  <c r="Q22"/>
  <c r="R22" s="1"/>
  <c r="S22" s="1"/>
  <c r="T22" s="1"/>
  <c r="L22" i="1"/>
  <c r="N22"/>
  <c r="Q22" i="18"/>
  <c r="R22"/>
  <c r="S22" s="1"/>
  <c r="T22" s="1"/>
  <c r="U22" s="1"/>
  <c r="L22" i="15"/>
  <c r="M22"/>
  <c r="N22" s="1"/>
  <c r="O22" s="1"/>
  <c r="N22" i="24"/>
  <c r="O22" s="1"/>
  <c r="Q22" s="1"/>
  <c r="N20"/>
  <c r="O20" s="1"/>
  <c r="Q20" s="1"/>
  <c r="N19"/>
  <c r="O19" s="1"/>
  <c r="Q19" s="1"/>
  <c r="K16"/>
  <c r="K7"/>
  <c r="L7" s="1"/>
  <c r="J6"/>
  <c r="J13" s="1"/>
  <c r="L22"/>
  <c r="L20"/>
  <c r="L19"/>
  <c r="L16"/>
  <c r="J21" i="23"/>
  <c r="K21" s="1"/>
  <c r="M21" s="1"/>
  <c r="J20"/>
  <c r="K20" s="1"/>
  <c r="M20" s="1"/>
  <c r="N20" s="1"/>
  <c r="O20" s="1"/>
  <c r="I17"/>
  <c r="G15"/>
  <c r="H16"/>
  <c r="U16" s="1"/>
  <c r="D15"/>
  <c r="E7"/>
  <c r="H23"/>
  <c r="U23" s="1"/>
  <c r="H21"/>
  <c r="H20"/>
  <c r="E15"/>
  <c r="H17"/>
  <c r="T10"/>
  <c r="P10"/>
  <c r="L10"/>
  <c r="H10"/>
  <c r="H8"/>
  <c r="N21" i="22"/>
  <c r="O21" s="1"/>
  <c r="Q21" s="1"/>
  <c r="J20"/>
  <c r="K20" s="1"/>
  <c r="M20" s="1"/>
  <c r="H18"/>
  <c r="J17"/>
  <c r="L16"/>
  <c r="I15"/>
  <c r="H16"/>
  <c r="D15"/>
  <c r="H9"/>
  <c r="E7"/>
  <c r="D6"/>
  <c r="D14" s="1"/>
  <c r="O16"/>
  <c r="H23"/>
  <c r="U23" s="1"/>
  <c r="L21"/>
  <c r="H21"/>
  <c r="H20"/>
  <c r="G15"/>
  <c r="E15"/>
  <c r="H17"/>
  <c r="T10"/>
  <c r="P10"/>
  <c r="L10"/>
  <c r="H10"/>
  <c r="U8"/>
  <c r="P16"/>
  <c r="J14" i="24" l="1"/>
  <c r="U9" i="23"/>
  <c r="U10"/>
  <c r="U8"/>
  <c r="U18"/>
  <c r="U9" i="22"/>
  <c r="V22" i="16"/>
  <c r="U18" i="22"/>
  <c r="U10"/>
  <c r="P21" i="24"/>
  <c r="Q21"/>
  <c r="R21" s="1"/>
  <c r="S21" s="1"/>
  <c r="T21" s="1"/>
  <c r="L21"/>
  <c r="J22" i="23"/>
  <c r="K22" s="1"/>
  <c r="M22" s="1"/>
  <c r="J22" i="22"/>
  <c r="K22" s="1"/>
  <c r="M22" s="1"/>
  <c r="O22" i="1"/>
  <c r="P22" s="1"/>
  <c r="R22" s="1"/>
  <c r="S22" s="1"/>
  <c r="T22" s="1"/>
  <c r="U22" s="1"/>
  <c r="V22" i="18"/>
  <c r="P22" i="15"/>
  <c r="Q22"/>
  <c r="R22" s="1"/>
  <c r="S22" s="1"/>
  <c r="T22" s="1"/>
  <c r="U22" s="1"/>
  <c r="L6" i="24"/>
  <c r="M7"/>
  <c r="K6"/>
  <c r="K13" s="1"/>
  <c r="M16"/>
  <c r="K14"/>
  <c r="R19"/>
  <c r="S19" s="1"/>
  <c r="R20"/>
  <c r="S20" s="1"/>
  <c r="R22"/>
  <c r="S22" s="1"/>
  <c r="P19"/>
  <c r="P20"/>
  <c r="P22"/>
  <c r="E6" i="23"/>
  <c r="E14" s="1"/>
  <c r="J17"/>
  <c r="I15"/>
  <c r="Q20"/>
  <c r="P20"/>
  <c r="N21"/>
  <c r="O21" s="1"/>
  <c r="Q21" s="1"/>
  <c r="H7"/>
  <c r="H15"/>
  <c r="L20"/>
  <c r="L21"/>
  <c r="Q16" i="22"/>
  <c r="E6"/>
  <c r="E14" s="1"/>
  <c r="K17"/>
  <c r="L17" s="1"/>
  <c r="J15"/>
  <c r="N20"/>
  <c r="O20" s="1"/>
  <c r="Q20" s="1"/>
  <c r="R21"/>
  <c r="S21" s="1"/>
  <c r="H7"/>
  <c r="H15"/>
  <c r="L20"/>
  <c r="P21"/>
  <c r="L14" i="24" l="1"/>
  <c r="L27" s="1"/>
  <c r="U21"/>
  <c r="N22" i="23"/>
  <c r="O22" s="1"/>
  <c r="Q22" s="1"/>
  <c r="L22"/>
  <c r="N22" i="22"/>
  <c r="O22" s="1"/>
  <c r="Q22" s="1"/>
  <c r="L22"/>
  <c r="Q22" i="1"/>
  <c r="V22" s="1"/>
  <c r="N16" i="24"/>
  <c r="M14"/>
  <c r="N7"/>
  <c r="M6"/>
  <c r="M13" s="1"/>
  <c r="L13"/>
  <c r="T22"/>
  <c r="U22" s="1"/>
  <c r="T20"/>
  <c r="U20" s="1"/>
  <c r="T19"/>
  <c r="U19" s="1"/>
  <c r="H28" i="23"/>
  <c r="H6"/>
  <c r="R21"/>
  <c r="S21" s="1"/>
  <c r="R20"/>
  <c r="S20" s="1"/>
  <c r="K17"/>
  <c r="J15"/>
  <c r="I7"/>
  <c r="G14"/>
  <c r="P21"/>
  <c r="L17"/>
  <c r="H28" i="22"/>
  <c r="H6"/>
  <c r="R20"/>
  <c r="S20" s="1"/>
  <c r="M17"/>
  <c r="K15"/>
  <c r="L15" s="1"/>
  <c r="L28" s="1"/>
  <c r="I7"/>
  <c r="I6" s="1"/>
  <c r="G14"/>
  <c r="R16"/>
  <c r="T21"/>
  <c r="U21" s="1"/>
  <c r="P20"/>
  <c r="R22" i="23" l="1"/>
  <c r="S22" s="1"/>
  <c r="P22"/>
  <c r="R22" i="22"/>
  <c r="S22" s="1"/>
  <c r="P22"/>
  <c r="O7" i="24"/>
  <c r="N6"/>
  <c r="N13" s="1"/>
  <c r="O16"/>
  <c r="N14"/>
  <c r="P7"/>
  <c r="P16"/>
  <c r="J7" i="23"/>
  <c r="I6"/>
  <c r="I14" s="1"/>
  <c r="M17"/>
  <c r="K15"/>
  <c r="L15" s="1"/>
  <c r="H14"/>
  <c r="T20"/>
  <c r="U20" s="1"/>
  <c r="T21"/>
  <c r="U21" s="1"/>
  <c r="S16" i="22"/>
  <c r="T16" s="1"/>
  <c r="U16" s="1"/>
  <c r="J7"/>
  <c r="J6" s="1"/>
  <c r="I14"/>
  <c r="N17"/>
  <c r="M15"/>
  <c r="H14"/>
  <c r="T20"/>
  <c r="U20" s="1"/>
  <c r="T22" i="23" l="1"/>
  <c r="U22" s="1"/>
  <c r="T22" i="22"/>
  <c r="U22" s="1"/>
  <c r="P6" i="24"/>
  <c r="Q16"/>
  <c r="O14"/>
  <c r="P14" s="1"/>
  <c r="Q7"/>
  <c r="O6"/>
  <c r="O13" s="1"/>
  <c r="L28" i="23"/>
  <c r="N17"/>
  <c r="M15"/>
  <c r="K7"/>
  <c r="L7" s="1"/>
  <c r="J6"/>
  <c r="J14" s="1"/>
  <c r="O17" i="22"/>
  <c r="N15"/>
  <c r="K7"/>
  <c r="K6" s="1"/>
  <c r="J14"/>
  <c r="P17"/>
  <c r="L7"/>
  <c r="R7" i="24" l="1"/>
  <c r="Q6"/>
  <c r="Q13" s="1"/>
  <c r="P27"/>
  <c r="R16"/>
  <c r="Q14"/>
  <c r="P13"/>
  <c r="L6" i="23"/>
  <c r="M7"/>
  <c r="K6"/>
  <c r="K14" s="1"/>
  <c r="O17"/>
  <c r="P17" s="1"/>
  <c r="N15"/>
  <c r="L6" i="22"/>
  <c r="M7"/>
  <c r="M6" s="1"/>
  <c r="K14"/>
  <c r="Q17"/>
  <c r="O15"/>
  <c r="P15" s="1"/>
  <c r="S16" i="24" l="1"/>
  <c r="S14" s="1"/>
  <c r="R14"/>
  <c r="S7"/>
  <c r="S6" s="1"/>
  <c r="S13" s="1"/>
  <c r="R6"/>
  <c r="R13" s="1"/>
  <c r="Q17" i="23"/>
  <c r="O15"/>
  <c r="P15" s="1"/>
  <c r="N7"/>
  <c r="M6"/>
  <c r="M14" s="1"/>
  <c r="L14"/>
  <c r="P28" i="22"/>
  <c r="R17"/>
  <c r="Q15"/>
  <c r="N7"/>
  <c r="N6" s="1"/>
  <c r="M14"/>
  <c r="L14"/>
  <c r="T14" i="24" l="1"/>
  <c r="U14" s="1"/>
  <c r="T16"/>
  <c r="U16" s="1"/>
  <c r="T7"/>
  <c r="T6" s="1"/>
  <c r="O7" i="23"/>
  <c r="P7" s="1"/>
  <c r="N6"/>
  <c r="N14" s="1"/>
  <c r="P28"/>
  <c r="R17"/>
  <c r="Q15"/>
  <c r="O7" i="22"/>
  <c r="O6" s="1"/>
  <c r="N14"/>
  <c r="S17"/>
  <c r="S15" s="1"/>
  <c r="R15"/>
  <c r="P7" l="1"/>
  <c r="P6" s="1"/>
  <c r="T17"/>
  <c r="U17" s="1"/>
  <c r="T27" i="24"/>
  <c r="U27" s="1"/>
  <c r="T15" i="22"/>
  <c r="U15" s="1"/>
  <c r="U7" i="24"/>
  <c r="T13"/>
  <c r="U13" s="1"/>
  <c r="U6"/>
  <c r="P6" i="23"/>
  <c r="S17"/>
  <c r="S15" s="1"/>
  <c r="R15"/>
  <c r="T15" s="1"/>
  <c r="Q7"/>
  <c r="O6"/>
  <c r="O14" s="1"/>
  <c r="Q7" i="22"/>
  <c r="Q6" s="1"/>
  <c r="O14"/>
  <c r="T17" i="23" l="1"/>
  <c r="U17" s="1"/>
  <c r="T28" i="22"/>
  <c r="U28" s="1"/>
  <c r="T28" i="23"/>
  <c r="U28" s="1"/>
  <c r="U15"/>
  <c r="R7"/>
  <c r="Q6"/>
  <c r="Q14" s="1"/>
  <c r="P14"/>
  <c r="R7" i="22"/>
  <c r="R6" s="1"/>
  <c r="Q14"/>
  <c r="P14"/>
  <c r="S7" i="23" l="1"/>
  <c r="S6" s="1"/>
  <c r="S14" s="1"/>
  <c r="R6"/>
  <c r="R14" s="1"/>
  <c r="S7" i="22"/>
  <c r="S6" s="1"/>
  <c r="R14"/>
  <c r="T7" i="23" l="1"/>
  <c r="U7" s="1"/>
  <c r="T7" i="22"/>
  <c r="U7" s="1"/>
  <c r="S14"/>
  <c r="T6" i="23" l="1"/>
  <c r="U6" s="1"/>
  <c r="T6" i="22"/>
  <c r="U6" s="1"/>
  <c r="T14" i="23" l="1"/>
  <c r="U14" s="1"/>
  <c r="T14" i="22"/>
  <c r="U14" s="1"/>
  <c r="D19" i="2"/>
  <c r="S17"/>
  <c r="R17"/>
  <c r="Q17"/>
  <c r="O17"/>
  <c r="N17"/>
  <c r="M17"/>
  <c r="K17"/>
  <c r="J17"/>
  <c r="I17"/>
  <c r="F17"/>
  <c r="E17"/>
  <c r="D16"/>
  <c r="S15"/>
  <c r="R15"/>
  <c r="Q15"/>
  <c r="O15"/>
  <c r="N15"/>
  <c r="M15"/>
  <c r="K15"/>
  <c r="J15"/>
  <c r="I15"/>
  <c r="F15"/>
  <c r="E15"/>
  <c r="S9"/>
  <c r="R9"/>
  <c r="Q9"/>
  <c r="N9"/>
  <c r="M9"/>
  <c r="K9"/>
  <c r="J9"/>
  <c r="I9"/>
  <c r="F9"/>
  <c r="E9"/>
  <c r="D9"/>
  <c r="S8"/>
  <c r="R8"/>
  <c r="Q8"/>
  <c r="O8"/>
  <c r="N8"/>
  <c r="M8"/>
  <c r="K8"/>
  <c r="J8"/>
  <c r="I8"/>
  <c r="F8"/>
  <c r="E8"/>
  <c r="D8"/>
  <c r="T11"/>
  <c r="D22"/>
  <c r="D17" i="6"/>
  <c r="D9"/>
  <c r="O9" i="2"/>
  <c r="P17" i="1"/>
  <c r="P9"/>
  <c r="D16" i="18"/>
  <c r="D9"/>
  <c r="D8"/>
  <c r="E22" i="2" l="1"/>
  <c r="F22" s="1"/>
  <c r="I22" s="1"/>
  <c r="D19" i="16"/>
  <c r="D9"/>
  <c r="D8"/>
  <c r="D7"/>
  <c r="U11" i="9"/>
  <c r="L11"/>
  <c r="K9" i="20"/>
  <c r="S11" i="8"/>
  <c r="K11"/>
  <c r="E7" i="20"/>
  <c r="J22" i="2" l="1"/>
  <c r="K22" s="1"/>
  <c r="M22" s="1"/>
  <c r="G22"/>
  <c r="D7" i="1"/>
  <c r="G7"/>
  <c r="I7" i="20"/>
  <c r="N22" i="2" l="1"/>
  <c r="O22" s="1"/>
  <c r="Q22" s="1"/>
  <c r="L22"/>
  <c r="J19" i="19"/>
  <c r="K19" s="1"/>
  <c r="M19" s="1"/>
  <c r="N19" s="1"/>
  <c r="O19" s="1"/>
  <c r="Q19" s="1"/>
  <c r="R19" s="1"/>
  <c r="S19" s="1"/>
  <c r="J16"/>
  <c r="K16" s="1"/>
  <c r="M16" s="1"/>
  <c r="N16" s="1"/>
  <c r="O16" s="1"/>
  <c r="Q16" s="1"/>
  <c r="R16" s="1"/>
  <c r="S16" s="1"/>
  <c r="J7"/>
  <c r="K7" s="1"/>
  <c r="M7" s="1"/>
  <c r="N7" s="1"/>
  <c r="O7" s="1"/>
  <c r="Q7" s="1"/>
  <c r="R7" s="1"/>
  <c r="S7" s="1"/>
  <c r="N22" i="21"/>
  <c r="O22" s="1"/>
  <c r="P22" s="1"/>
  <c r="R22" s="1"/>
  <c r="S22" s="1"/>
  <c r="T22" s="1"/>
  <c r="N10"/>
  <c r="O10" s="1"/>
  <c r="P10" s="1"/>
  <c r="R10" s="1"/>
  <c r="S10" s="1"/>
  <c r="T10" s="1"/>
  <c r="R22" i="2" l="1"/>
  <c r="S22" s="1"/>
  <c r="P22"/>
  <c r="J21" i="6"/>
  <c r="K21" s="1"/>
  <c r="M21" s="1"/>
  <c r="N21" s="1"/>
  <c r="O21" s="1"/>
  <c r="Q21" s="1"/>
  <c r="R21" s="1"/>
  <c r="S21" s="1"/>
  <c r="J20"/>
  <c r="K20" s="1"/>
  <c r="M20" s="1"/>
  <c r="N20" s="1"/>
  <c r="O20" s="1"/>
  <c r="Q20" s="1"/>
  <c r="R20" s="1"/>
  <c r="S20" s="1"/>
  <c r="J19"/>
  <c r="K19" s="1"/>
  <c r="M19" s="1"/>
  <c r="N19" s="1"/>
  <c r="O19" s="1"/>
  <c r="Q19" s="1"/>
  <c r="R19" s="1"/>
  <c r="S19" s="1"/>
  <c r="J10"/>
  <c r="K10" s="1"/>
  <c r="M10" s="1"/>
  <c r="N10" s="1"/>
  <c r="O10" s="1"/>
  <c r="Q10" s="1"/>
  <c r="R10" s="1"/>
  <c r="S10" s="1"/>
  <c r="D21"/>
  <c r="D20"/>
  <c r="D19"/>
  <c r="D15"/>
  <c r="D10"/>
  <c r="D8"/>
  <c r="D7"/>
  <c r="J7"/>
  <c r="J6" s="1"/>
  <c r="O22" i="14"/>
  <c r="O21"/>
  <c r="Q21" s="1"/>
  <c r="R21" s="1"/>
  <c r="S21" s="1"/>
  <c r="O17"/>
  <c r="O7"/>
  <c r="O10"/>
  <c r="Q10" s="1"/>
  <c r="M16" i="20"/>
  <c r="N16" s="1"/>
  <c r="O16" s="1"/>
  <c r="Q16" s="1"/>
  <c r="R16" s="1"/>
  <c r="S16" s="1"/>
  <c r="D20" i="1"/>
  <c r="G20" s="1"/>
  <c r="I20" s="1"/>
  <c r="J20" s="1"/>
  <c r="K20" s="1"/>
  <c r="N20" s="1"/>
  <c r="O20" s="1"/>
  <c r="P20" s="1"/>
  <c r="R20" s="1"/>
  <c r="S20" s="1"/>
  <c r="T20" s="1"/>
  <c r="D19"/>
  <c r="G19" s="1"/>
  <c r="I19" s="1"/>
  <c r="J19" s="1"/>
  <c r="K19" s="1"/>
  <c r="N19" s="1"/>
  <c r="O19" s="1"/>
  <c r="P19" s="1"/>
  <c r="R19" s="1"/>
  <c r="S19" s="1"/>
  <c r="T19" s="1"/>
  <c r="D16"/>
  <c r="G16" s="1"/>
  <c r="I16" s="1"/>
  <c r="J16" s="1"/>
  <c r="K16" s="1"/>
  <c r="N16" s="1"/>
  <c r="O16" s="1"/>
  <c r="P16" s="1"/>
  <c r="R16" s="1"/>
  <c r="S16" s="1"/>
  <c r="T16" s="1"/>
  <c r="D15"/>
  <c r="Q11"/>
  <c r="D6" i="6" l="1"/>
  <c r="K7"/>
  <c r="K6" s="1"/>
  <c r="T22" i="2"/>
  <c r="U22" s="1"/>
  <c r="D10" i="1"/>
  <c r="G10" s="1"/>
  <c r="D8"/>
  <c r="I7"/>
  <c r="O21" i="18"/>
  <c r="P21" s="1"/>
  <c r="R21" s="1"/>
  <c r="S21" s="1"/>
  <c r="T21" s="1"/>
  <c r="D19"/>
  <c r="D17"/>
  <c r="K16"/>
  <c r="N16" s="1"/>
  <c r="O16" s="1"/>
  <c r="P16" s="1"/>
  <c r="R16" s="1"/>
  <c r="S16" s="1"/>
  <c r="T16" s="1"/>
  <c r="G7"/>
  <c r="I7" s="1"/>
  <c r="J7" s="1"/>
  <c r="K7" s="1"/>
  <c r="O7" s="1"/>
  <c r="P7" s="1"/>
  <c r="R7" s="1"/>
  <c r="S7" s="1"/>
  <c r="T7" s="1"/>
  <c r="D7"/>
  <c r="D20" i="15"/>
  <c r="G20" s="1"/>
  <c r="I20" s="1"/>
  <c r="J20" s="1"/>
  <c r="K20" s="1"/>
  <c r="M20" s="1"/>
  <c r="N20" s="1"/>
  <c r="O20" s="1"/>
  <c r="Q20" s="1"/>
  <c r="R20" s="1"/>
  <c r="S20" s="1"/>
  <c r="D19"/>
  <c r="G19" s="1"/>
  <c r="I19" s="1"/>
  <c r="J19" s="1"/>
  <c r="K19" s="1"/>
  <c r="M19" s="1"/>
  <c r="N19" s="1"/>
  <c r="O19" s="1"/>
  <c r="Q19" s="1"/>
  <c r="R19" s="1"/>
  <c r="S19" s="1"/>
  <c r="D17"/>
  <c r="D16"/>
  <c r="D15"/>
  <c r="G15" s="1"/>
  <c r="I15" s="1"/>
  <c r="J15" s="1"/>
  <c r="K15" s="1"/>
  <c r="M15" s="1"/>
  <c r="N15" s="1"/>
  <c r="O15" s="1"/>
  <c r="Q15" s="1"/>
  <c r="D9"/>
  <c r="D8"/>
  <c r="D7"/>
  <c r="G7" s="1"/>
  <c r="I7" s="1"/>
  <c r="J7" s="1"/>
  <c r="K7" s="1"/>
  <c r="M7" s="1"/>
  <c r="N7" s="1"/>
  <c r="O7" s="1"/>
  <c r="Q7" s="1"/>
  <c r="R7" s="1"/>
  <c r="S7" s="1"/>
  <c r="Q11" i="16"/>
  <c r="H11"/>
  <c r="P11" i="19"/>
  <c r="L11"/>
  <c r="H11"/>
  <c r="Q11" i="21"/>
  <c r="L11"/>
  <c r="O11" i="8"/>
  <c r="G11"/>
  <c r="P11" i="7"/>
  <c r="L11"/>
  <c r="G11"/>
  <c r="P11" i="12"/>
  <c r="L11"/>
  <c r="H11"/>
  <c r="P11" i="6"/>
  <c r="L11"/>
  <c r="H11"/>
  <c r="P11" i="10"/>
  <c r="L11"/>
  <c r="H11"/>
  <c r="Q11" i="9"/>
  <c r="H11"/>
  <c r="P11" i="14"/>
  <c r="L11"/>
  <c r="G11"/>
  <c r="P11" i="13"/>
  <c r="L11"/>
  <c r="H11"/>
  <c r="Q11" i="5"/>
  <c r="L11"/>
  <c r="H11"/>
  <c r="P11" i="4"/>
  <c r="L11"/>
  <c r="H11"/>
  <c r="P11" i="3"/>
  <c r="H11"/>
  <c r="Q22" i="14"/>
  <c r="R22" s="1"/>
  <c r="S22" s="1"/>
  <c r="T22" s="1"/>
  <c r="R20"/>
  <c r="S20" s="1"/>
  <c r="Q17"/>
  <c r="R17" s="1"/>
  <c r="S17" s="1"/>
  <c r="R10"/>
  <c r="S10" s="1"/>
  <c r="Q7"/>
  <c r="R7" s="1"/>
  <c r="S7" s="1"/>
  <c r="J23" i="6"/>
  <c r="L11" i="16"/>
  <c r="M7" i="6" l="1"/>
  <c r="M6" s="1"/>
  <c r="J7" i="1"/>
  <c r="I10"/>
  <c r="J10" s="1"/>
  <c r="K10" s="1"/>
  <c r="N10" s="1"/>
  <c r="O10" s="1"/>
  <c r="P10" s="1"/>
  <c r="R10" s="1"/>
  <c r="S10" s="1"/>
  <c r="T10" s="1"/>
  <c r="G6"/>
  <c r="U27" i="21"/>
  <c r="Q27"/>
  <c r="L27"/>
  <c r="H27"/>
  <c r="U26"/>
  <c r="Q26"/>
  <c r="L26"/>
  <c r="H26"/>
  <c r="U25"/>
  <c r="Q25"/>
  <c r="L25"/>
  <c r="H25"/>
  <c r="T24"/>
  <c r="S24"/>
  <c r="R24"/>
  <c r="P24"/>
  <c r="O24"/>
  <c r="N24"/>
  <c r="K24"/>
  <c r="J24"/>
  <c r="I24"/>
  <c r="G24"/>
  <c r="F24"/>
  <c r="D24"/>
  <c r="U19"/>
  <c r="Q19"/>
  <c r="L19"/>
  <c r="H19"/>
  <c r="V12"/>
  <c r="U11"/>
  <c r="H11"/>
  <c r="K4"/>
  <c r="N7" s="1"/>
  <c r="T26" i="20"/>
  <c r="P26"/>
  <c r="L26"/>
  <c r="H26"/>
  <c r="T25"/>
  <c r="P25"/>
  <c r="L25"/>
  <c r="H25"/>
  <c r="T24"/>
  <c r="P24"/>
  <c r="L24"/>
  <c r="H24"/>
  <c r="S23"/>
  <c r="R23"/>
  <c r="Q23"/>
  <c r="O23"/>
  <c r="N23"/>
  <c r="M23"/>
  <c r="K23"/>
  <c r="I23"/>
  <c r="G23"/>
  <c r="E23"/>
  <c r="D23"/>
  <c r="T22"/>
  <c r="P22"/>
  <c r="I22"/>
  <c r="G22"/>
  <c r="E22"/>
  <c r="D22"/>
  <c r="D20"/>
  <c r="E19"/>
  <c r="D19"/>
  <c r="T18"/>
  <c r="P18"/>
  <c r="L18"/>
  <c r="H18"/>
  <c r="T17"/>
  <c r="P17"/>
  <c r="E17"/>
  <c r="D17"/>
  <c r="T16"/>
  <c r="P16"/>
  <c r="E16"/>
  <c r="D16"/>
  <c r="T15"/>
  <c r="P15"/>
  <c r="D15"/>
  <c r="H15" s="1"/>
  <c r="T11"/>
  <c r="P11"/>
  <c r="L11"/>
  <c r="H11"/>
  <c r="S10"/>
  <c r="R10"/>
  <c r="Q10"/>
  <c r="T10" s="1"/>
  <c r="O10"/>
  <c r="N10"/>
  <c r="M10"/>
  <c r="K10"/>
  <c r="J10"/>
  <c r="I10"/>
  <c r="G10"/>
  <c r="E10"/>
  <c r="D10"/>
  <c r="E9"/>
  <c r="D9"/>
  <c r="D8"/>
  <c r="H8" s="1"/>
  <c r="D7"/>
  <c r="H7" s="1"/>
  <c r="I6"/>
  <c r="I13" s="1"/>
  <c r="G6"/>
  <c r="G13" s="1"/>
  <c r="E6"/>
  <c r="E13" s="1"/>
  <c r="T26" i="19"/>
  <c r="P26"/>
  <c r="L26"/>
  <c r="H26"/>
  <c r="T25"/>
  <c r="P25"/>
  <c r="L25"/>
  <c r="H25"/>
  <c r="T24"/>
  <c r="P24"/>
  <c r="L24"/>
  <c r="H24"/>
  <c r="S23"/>
  <c r="R23"/>
  <c r="Q23"/>
  <c r="T23" s="1"/>
  <c r="O23"/>
  <c r="N23"/>
  <c r="M23"/>
  <c r="K23"/>
  <c r="J23"/>
  <c r="I23"/>
  <c r="G23"/>
  <c r="F23"/>
  <c r="D23"/>
  <c r="S21"/>
  <c r="R21"/>
  <c r="Q21"/>
  <c r="O21"/>
  <c r="N21"/>
  <c r="M21"/>
  <c r="K21"/>
  <c r="J21"/>
  <c r="I21"/>
  <c r="G21"/>
  <c r="F21"/>
  <c r="D21"/>
  <c r="T20"/>
  <c r="P20"/>
  <c r="L20"/>
  <c r="D20"/>
  <c r="H20" s="1"/>
  <c r="T19"/>
  <c r="P19"/>
  <c r="L19"/>
  <c r="D19"/>
  <c r="H19" s="1"/>
  <c r="T18"/>
  <c r="P18"/>
  <c r="L18"/>
  <c r="H18"/>
  <c r="S17"/>
  <c r="S14" s="1"/>
  <c r="R17"/>
  <c r="R14" s="1"/>
  <c r="Q17"/>
  <c r="Q14" s="1"/>
  <c r="O17"/>
  <c r="O14" s="1"/>
  <c r="N17"/>
  <c r="M17"/>
  <c r="K17"/>
  <c r="K14" s="1"/>
  <c r="J17"/>
  <c r="I17"/>
  <c r="I14" s="1"/>
  <c r="G17"/>
  <c r="G14" s="1"/>
  <c r="F17"/>
  <c r="D17"/>
  <c r="H17" s="1"/>
  <c r="T16"/>
  <c r="P16"/>
  <c r="L16"/>
  <c r="D16"/>
  <c r="H16" s="1"/>
  <c r="T15"/>
  <c r="P15"/>
  <c r="L15"/>
  <c r="D15"/>
  <c r="H15" s="1"/>
  <c r="M14"/>
  <c r="J14"/>
  <c r="T11"/>
  <c r="S10"/>
  <c r="R10"/>
  <c r="Q10"/>
  <c r="O10"/>
  <c r="N10"/>
  <c r="M10"/>
  <c r="K10"/>
  <c r="K6" s="1"/>
  <c r="K13" s="1"/>
  <c r="J10"/>
  <c r="I10"/>
  <c r="G10"/>
  <c r="F10"/>
  <c r="D10"/>
  <c r="S9"/>
  <c r="S6" s="1"/>
  <c r="S13" s="1"/>
  <c r="R9"/>
  <c r="R6" s="1"/>
  <c r="R13" s="1"/>
  <c r="Q9"/>
  <c r="T9" s="1"/>
  <c r="O9"/>
  <c r="O6" s="1"/>
  <c r="O13" s="1"/>
  <c r="N9"/>
  <c r="M9"/>
  <c r="K9"/>
  <c r="J9"/>
  <c r="I9"/>
  <c r="G9"/>
  <c r="F9"/>
  <c r="F6" s="1"/>
  <c r="F13" s="1"/>
  <c r="D9"/>
  <c r="T8"/>
  <c r="P8"/>
  <c r="L8"/>
  <c r="D8"/>
  <c r="H8" s="1"/>
  <c r="T7"/>
  <c r="P7"/>
  <c r="L7"/>
  <c r="D7"/>
  <c r="H7" s="1"/>
  <c r="I6"/>
  <c r="I13" s="1"/>
  <c r="G6"/>
  <c r="G13" s="1"/>
  <c r="D6"/>
  <c r="D13" s="1"/>
  <c r="Q26" i="18"/>
  <c r="L26"/>
  <c r="H26"/>
  <c r="U25"/>
  <c r="Q25"/>
  <c r="L25"/>
  <c r="H25"/>
  <c r="U24"/>
  <c r="Q24"/>
  <c r="L24"/>
  <c r="H24"/>
  <c r="T23"/>
  <c r="S23"/>
  <c r="R23"/>
  <c r="P23"/>
  <c r="O23"/>
  <c r="N23"/>
  <c r="K23"/>
  <c r="J23"/>
  <c r="I23"/>
  <c r="G23"/>
  <c r="F23"/>
  <c r="F14" s="1"/>
  <c r="D23"/>
  <c r="U21"/>
  <c r="Q21"/>
  <c r="J21"/>
  <c r="I21"/>
  <c r="G21"/>
  <c r="F21"/>
  <c r="D21"/>
  <c r="K20"/>
  <c r="N20" s="1"/>
  <c r="O20" s="1"/>
  <c r="P20" s="1"/>
  <c r="R20" s="1"/>
  <c r="S20" s="1"/>
  <c r="T20" s="1"/>
  <c r="D20"/>
  <c r="H20" s="1"/>
  <c r="H19"/>
  <c r="U18"/>
  <c r="Q18"/>
  <c r="L18"/>
  <c r="H18"/>
  <c r="U17"/>
  <c r="Q17"/>
  <c r="L17"/>
  <c r="H17"/>
  <c r="U16"/>
  <c r="Q16"/>
  <c r="L16"/>
  <c r="H16"/>
  <c r="U15"/>
  <c r="Q15"/>
  <c r="L15"/>
  <c r="D15"/>
  <c r="H15" s="1"/>
  <c r="I14"/>
  <c r="U11"/>
  <c r="Q11"/>
  <c r="L11"/>
  <c r="H11"/>
  <c r="T10"/>
  <c r="S10"/>
  <c r="R10"/>
  <c r="P10"/>
  <c r="P6" s="1"/>
  <c r="P13" s="1"/>
  <c r="O10"/>
  <c r="N10"/>
  <c r="K10"/>
  <c r="J10"/>
  <c r="I10"/>
  <c r="L10" s="1"/>
  <c r="G10"/>
  <c r="F10"/>
  <c r="F6" s="1"/>
  <c r="F13" s="1"/>
  <c r="D10"/>
  <c r="D6" s="1"/>
  <c r="D13" s="1"/>
  <c r="U9"/>
  <c r="Q9"/>
  <c r="L9"/>
  <c r="H9"/>
  <c r="U8"/>
  <c r="Q8"/>
  <c r="L8"/>
  <c r="H8"/>
  <c r="U7"/>
  <c r="Q7"/>
  <c r="L7"/>
  <c r="H7"/>
  <c r="T6"/>
  <c r="T13" s="1"/>
  <c r="S6"/>
  <c r="S13" s="1"/>
  <c r="O6"/>
  <c r="O13" s="1"/>
  <c r="N6"/>
  <c r="N13" s="1"/>
  <c r="K6"/>
  <c r="K13" s="1"/>
  <c r="J6"/>
  <c r="J13" s="1"/>
  <c r="P23" i="19" l="1"/>
  <c r="N6"/>
  <c r="N13" s="1"/>
  <c r="L10"/>
  <c r="U15"/>
  <c r="U19"/>
  <c r="H21"/>
  <c r="U24"/>
  <c r="N14"/>
  <c r="J6"/>
  <c r="J13" s="1"/>
  <c r="H10"/>
  <c r="H6" s="1"/>
  <c r="H13" s="1"/>
  <c r="U24" i="21"/>
  <c r="Q24"/>
  <c r="V25"/>
  <c r="V27"/>
  <c r="H23" i="20"/>
  <c r="T23"/>
  <c r="H9"/>
  <c r="P10"/>
  <c r="P23"/>
  <c r="H16"/>
  <c r="U24"/>
  <c r="Q6" i="18"/>
  <c r="Q13" s="1"/>
  <c r="L20"/>
  <c r="Q10"/>
  <c r="I6"/>
  <c r="I13" s="1"/>
  <c r="L21"/>
  <c r="V26"/>
  <c r="U10"/>
  <c r="D14"/>
  <c r="G14"/>
  <c r="H14" s="1"/>
  <c r="H27" s="1"/>
  <c r="U26" i="19"/>
  <c r="U26" i="20"/>
  <c r="V19" i="21"/>
  <c r="U18" i="20"/>
  <c r="H10" i="18"/>
  <c r="V16"/>
  <c r="V18"/>
  <c r="H21"/>
  <c r="V21" s="1"/>
  <c r="U23"/>
  <c r="P9" i="19"/>
  <c r="L14"/>
  <c r="L27" s="1"/>
  <c r="L23"/>
  <c r="L10" i="20"/>
  <c r="H22"/>
  <c r="L24" i="21"/>
  <c r="V8" i="18"/>
  <c r="U6"/>
  <c r="U13" s="1"/>
  <c r="H23"/>
  <c r="V25"/>
  <c r="Q6" i="19"/>
  <c r="Q13" s="1"/>
  <c r="T10"/>
  <c r="T6" s="1"/>
  <c r="T13" s="1"/>
  <c r="P17"/>
  <c r="P21"/>
  <c r="U8"/>
  <c r="D14"/>
  <c r="T14"/>
  <c r="T27" s="1"/>
  <c r="L6" i="18"/>
  <c r="Q23"/>
  <c r="L9" i="19"/>
  <c r="U16"/>
  <c r="U18"/>
  <c r="U20"/>
  <c r="H23"/>
  <c r="U25"/>
  <c r="D6" i="20"/>
  <c r="D13" s="1"/>
  <c r="H10"/>
  <c r="D14"/>
  <c r="H17"/>
  <c r="H19"/>
  <c r="U25"/>
  <c r="H24" i="21"/>
  <c r="V26"/>
  <c r="V9" i="18"/>
  <c r="V15"/>
  <c r="V17"/>
  <c r="M6" i="19"/>
  <c r="M13" s="1"/>
  <c r="P10"/>
  <c r="L17"/>
  <c r="L21"/>
  <c r="R6" i="18"/>
  <c r="R13" s="1"/>
  <c r="V24"/>
  <c r="L6" i="19"/>
  <c r="L13" s="1"/>
  <c r="P14"/>
  <c r="P27" s="1"/>
  <c r="L23" i="18"/>
  <c r="H9" i="19"/>
  <c r="F14"/>
  <c r="T17"/>
  <c r="T21"/>
  <c r="U21" s="1"/>
  <c r="G23" i="21"/>
  <c r="F23"/>
  <c r="G21"/>
  <c r="I21" s="1"/>
  <c r="F21"/>
  <c r="G20"/>
  <c r="I20" s="1"/>
  <c r="F20"/>
  <c r="T18"/>
  <c r="S18"/>
  <c r="R18"/>
  <c r="P18"/>
  <c r="O18"/>
  <c r="Q18" s="1"/>
  <c r="N18"/>
  <c r="K18"/>
  <c r="J18"/>
  <c r="I18"/>
  <c r="L18" s="1"/>
  <c r="G18"/>
  <c r="F18"/>
  <c r="J17"/>
  <c r="I17"/>
  <c r="G17"/>
  <c r="F17"/>
  <c r="T16"/>
  <c r="S16"/>
  <c r="R16"/>
  <c r="P16"/>
  <c r="O16"/>
  <c r="N16"/>
  <c r="K16"/>
  <c r="J16"/>
  <c r="I16"/>
  <c r="G16"/>
  <c r="F16"/>
  <c r="F9"/>
  <c r="F8"/>
  <c r="T9"/>
  <c r="S9"/>
  <c r="R9"/>
  <c r="P9"/>
  <c r="O9"/>
  <c r="N9"/>
  <c r="K9"/>
  <c r="J9"/>
  <c r="I9"/>
  <c r="G9"/>
  <c r="T8"/>
  <c r="S8"/>
  <c r="R8"/>
  <c r="P8"/>
  <c r="O8"/>
  <c r="N8"/>
  <c r="K8"/>
  <c r="J8"/>
  <c r="I8"/>
  <c r="G8"/>
  <c r="G7"/>
  <c r="F7"/>
  <c r="N7" i="6"/>
  <c r="N6" s="1"/>
  <c r="K7" i="1"/>
  <c r="J6"/>
  <c r="I6"/>
  <c r="J19" i="18"/>
  <c r="Q20"/>
  <c r="U20"/>
  <c r="E20" i="20"/>
  <c r="J7"/>
  <c r="K7" s="1"/>
  <c r="M7" s="1"/>
  <c r="J16"/>
  <c r="L16" s="1"/>
  <c r="U16" s="1"/>
  <c r="L17"/>
  <c r="U17" s="1"/>
  <c r="J19"/>
  <c r="K19" s="1"/>
  <c r="M19" s="1"/>
  <c r="J22"/>
  <c r="L22" s="1"/>
  <c r="J23"/>
  <c r="L23" s="1"/>
  <c r="U22" i="21"/>
  <c r="Q22"/>
  <c r="J22"/>
  <c r="I22"/>
  <c r="G22"/>
  <c r="F22"/>
  <c r="F15" s="1"/>
  <c r="D22"/>
  <c r="D21"/>
  <c r="D20"/>
  <c r="H20" s="1"/>
  <c r="U18"/>
  <c r="D18"/>
  <c r="H18" s="1"/>
  <c r="K17"/>
  <c r="N17" s="1"/>
  <c r="O17" s="1"/>
  <c r="P17" s="1"/>
  <c r="R17" s="1"/>
  <c r="S17" s="1"/>
  <c r="T17" s="1"/>
  <c r="D17"/>
  <c r="H17" s="1"/>
  <c r="D16"/>
  <c r="U10"/>
  <c r="Q10"/>
  <c r="J10"/>
  <c r="I10"/>
  <c r="L10" s="1"/>
  <c r="G10"/>
  <c r="F10"/>
  <c r="D10"/>
  <c r="Q9"/>
  <c r="D7"/>
  <c r="D8"/>
  <c r="D9"/>
  <c r="L9"/>
  <c r="V11"/>
  <c r="U11" i="20"/>
  <c r="U7" i="19"/>
  <c r="U11"/>
  <c r="V7" i="18"/>
  <c r="H6"/>
  <c r="V6" s="1"/>
  <c r="V11"/>
  <c r="L13"/>
  <c r="U9" i="19" l="1"/>
  <c r="U10"/>
  <c r="U17"/>
  <c r="U23"/>
  <c r="H14"/>
  <c r="U14" s="1"/>
  <c r="L17" i="21"/>
  <c r="U9"/>
  <c r="V24"/>
  <c r="H6" i="20"/>
  <c r="H13" s="1"/>
  <c r="U22"/>
  <c r="U23"/>
  <c r="V10" i="18"/>
  <c r="H13"/>
  <c r="V13" s="1"/>
  <c r="J21" i="21"/>
  <c r="K21" s="1"/>
  <c r="N21" s="1"/>
  <c r="O21" s="1"/>
  <c r="P21" s="1"/>
  <c r="R21" s="1"/>
  <c r="S21" s="1"/>
  <c r="T21" s="1"/>
  <c r="J20"/>
  <c r="K20" s="1"/>
  <c r="N20" s="1"/>
  <c r="O20" s="1"/>
  <c r="P20" s="1"/>
  <c r="R20" s="1"/>
  <c r="S20" s="1"/>
  <c r="T20" s="1"/>
  <c r="H27" i="19"/>
  <c r="U27" s="1"/>
  <c r="L22" i="21"/>
  <c r="P6" i="19"/>
  <c r="P13" s="1"/>
  <c r="U13" s="1"/>
  <c r="H10" i="21"/>
  <c r="V10" s="1"/>
  <c r="H22"/>
  <c r="G6"/>
  <c r="G14" s="1"/>
  <c r="F6"/>
  <c r="F14" s="1"/>
  <c r="U10" i="20"/>
  <c r="V18" i="21"/>
  <c r="U6" i="19"/>
  <c r="H21" i="21"/>
  <c r="V23" i="18"/>
  <c r="G15" i="21"/>
  <c r="O7" i="6"/>
  <c r="O6" s="1"/>
  <c r="K6" i="1"/>
  <c r="H23" i="21"/>
  <c r="I23"/>
  <c r="J23" s="1"/>
  <c r="I7"/>
  <c r="Q17"/>
  <c r="U17"/>
  <c r="V20" i="18"/>
  <c r="K19"/>
  <c r="L19" s="1"/>
  <c r="J14"/>
  <c r="E14" i="20"/>
  <c r="H20"/>
  <c r="N7"/>
  <c r="O7" s="1"/>
  <c r="Q7" s="1"/>
  <c r="L19"/>
  <c r="L15"/>
  <c r="U15" s="1"/>
  <c r="J6"/>
  <c r="J13" s="1"/>
  <c r="L7"/>
  <c r="H7" i="21"/>
  <c r="D6"/>
  <c r="D14" s="1"/>
  <c r="H16"/>
  <c r="D15"/>
  <c r="L16"/>
  <c r="Q16"/>
  <c r="U16"/>
  <c r="H9"/>
  <c r="V9" s="1"/>
  <c r="U8"/>
  <c r="Q8"/>
  <c r="L8"/>
  <c r="H8"/>
  <c r="N19" i="20"/>
  <c r="I15" i="21" l="1"/>
  <c r="Q20"/>
  <c r="V22"/>
  <c r="L21"/>
  <c r="U20"/>
  <c r="L20"/>
  <c r="Q21"/>
  <c r="H15"/>
  <c r="U21"/>
  <c r="V8"/>
  <c r="P7" i="20"/>
  <c r="Q7" i="6"/>
  <c r="Q6" s="1"/>
  <c r="Q13" s="1"/>
  <c r="O7" i="1"/>
  <c r="N6"/>
  <c r="K23" i="21"/>
  <c r="K15" s="1"/>
  <c r="J15"/>
  <c r="J7"/>
  <c r="I6"/>
  <c r="I14" s="1"/>
  <c r="L23"/>
  <c r="N23"/>
  <c r="V17"/>
  <c r="N19" i="18"/>
  <c r="K14"/>
  <c r="L14" s="1"/>
  <c r="I20" i="20"/>
  <c r="G14"/>
  <c r="H14" s="1"/>
  <c r="H27" s="1"/>
  <c r="P9"/>
  <c r="L9"/>
  <c r="R7"/>
  <c r="S7" s="1"/>
  <c r="K6"/>
  <c r="K13" s="1"/>
  <c r="L8"/>
  <c r="L6" s="1"/>
  <c r="H28" i="21"/>
  <c r="H6"/>
  <c r="V16"/>
  <c r="O19" i="20"/>
  <c r="P19" s="1"/>
  <c r="V20" i="21" l="1"/>
  <c r="V21"/>
  <c r="L15"/>
  <c r="L28" s="1"/>
  <c r="T7" i="20"/>
  <c r="U7" s="1"/>
  <c r="R7" i="6"/>
  <c r="R6" s="1"/>
  <c r="P7" i="1"/>
  <c r="O6"/>
  <c r="O23" i="21"/>
  <c r="N15"/>
  <c r="K7"/>
  <c r="L7" s="1"/>
  <c r="J6"/>
  <c r="J14" s="1"/>
  <c r="L27" i="18"/>
  <c r="O19"/>
  <c r="N14"/>
  <c r="T9" i="20"/>
  <c r="J20"/>
  <c r="I14"/>
  <c r="U9"/>
  <c r="M6"/>
  <c r="M13" s="1"/>
  <c r="L13"/>
  <c r="H14" i="21"/>
  <c r="Q19" i="20"/>
  <c r="S7" i="6" l="1"/>
  <c r="S6" s="1"/>
  <c r="R7" i="1"/>
  <c r="P6"/>
  <c r="P23" i="21"/>
  <c r="O15"/>
  <c r="L6"/>
  <c r="K6"/>
  <c r="P19" i="18"/>
  <c r="O14"/>
  <c r="K20" i="20"/>
  <c r="J14"/>
  <c r="N6"/>
  <c r="N13" s="1"/>
  <c r="R19"/>
  <c r="U26" i="16"/>
  <c r="Q26"/>
  <c r="L26"/>
  <c r="H26"/>
  <c r="U25"/>
  <c r="Q25"/>
  <c r="L25"/>
  <c r="H25"/>
  <c r="U24"/>
  <c r="Q24"/>
  <c r="L24"/>
  <c r="H24"/>
  <c r="T23"/>
  <c r="S23"/>
  <c r="R23"/>
  <c r="P23"/>
  <c r="O23"/>
  <c r="N23"/>
  <c r="K23"/>
  <c r="J23"/>
  <c r="I23"/>
  <c r="G23"/>
  <c r="F23"/>
  <c r="D23"/>
  <c r="U21"/>
  <c r="Q21"/>
  <c r="J21"/>
  <c r="I21"/>
  <c r="L21" s="1"/>
  <c r="G21"/>
  <c r="G14" s="1"/>
  <c r="F21"/>
  <c r="D21"/>
  <c r="I20"/>
  <c r="J20" s="1"/>
  <c r="K20" s="1"/>
  <c r="N20" s="1"/>
  <c r="O20" s="1"/>
  <c r="P20" s="1"/>
  <c r="R20" s="1"/>
  <c r="S20" s="1"/>
  <c r="T20" s="1"/>
  <c r="D20"/>
  <c r="H20" s="1"/>
  <c r="I19"/>
  <c r="J19" s="1"/>
  <c r="K19" s="1"/>
  <c r="N19" s="1"/>
  <c r="O19" s="1"/>
  <c r="P19" s="1"/>
  <c r="R19" s="1"/>
  <c r="S19" s="1"/>
  <c r="T19" s="1"/>
  <c r="H19"/>
  <c r="U18"/>
  <c r="Q18"/>
  <c r="L18"/>
  <c r="H18"/>
  <c r="U17"/>
  <c r="Q17"/>
  <c r="L17"/>
  <c r="D17"/>
  <c r="H17" s="1"/>
  <c r="I16"/>
  <c r="J16" s="1"/>
  <c r="K16" s="1"/>
  <c r="N16" s="1"/>
  <c r="O16" s="1"/>
  <c r="P16" s="1"/>
  <c r="R16" s="1"/>
  <c r="S16" s="1"/>
  <c r="T16" s="1"/>
  <c r="D16"/>
  <c r="H16" s="1"/>
  <c r="U15"/>
  <c r="Q15"/>
  <c r="L15"/>
  <c r="D15"/>
  <c r="H15" s="1"/>
  <c r="F14"/>
  <c r="U11"/>
  <c r="T10"/>
  <c r="S10"/>
  <c r="R10"/>
  <c r="P10"/>
  <c r="O10"/>
  <c r="N10"/>
  <c r="K10"/>
  <c r="J10"/>
  <c r="I10"/>
  <c r="G10"/>
  <c r="G6" s="1"/>
  <c r="G13" s="1"/>
  <c r="F10"/>
  <c r="F6" s="1"/>
  <c r="F13" s="1"/>
  <c r="D10"/>
  <c r="U9"/>
  <c r="Q9"/>
  <c r="L9"/>
  <c r="H9"/>
  <c r="U8"/>
  <c r="Q8"/>
  <c r="L8"/>
  <c r="H8"/>
  <c r="I7"/>
  <c r="H7"/>
  <c r="D6"/>
  <c r="D13" s="1"/>
  <c r="T26" i="15"/>
  <c r="P26"/>
  <c r="L26"/>
  <c r="H26"/>
  <c r="T25"/>
  <c r="P25"/>
  <c r="L25"/>
  <c r="H25"/>
  <c r="U25" s="1"/>
  <c r="T24"/>
  <c r="P24"/>
  <c r="L24"/>
  <c r="H24"/>
  <c r="S23"/>
  <c r="R23"/>
  <c r="Q23"/>
  <c r="O23"/>
  <c r="N23"/>
  <c r="M23"/>
  <c r="K23"/>
  <c r="J23"/>
  <c r="I23"/>
  <c r="G23"/>
  <c r="F23"/>
  <c r="D23"/>
  <c r="H23" s="1"/>
  <c r="J21"/>
  <c r="K21" s="1"/>
  <c r="M21" s="1"/>
  <c r="N21" s="1"/>
  <c r="O21" s="1"/>
  <c r="Q21" s="1"/>
  <c r="R21" s="1"/>
  <c r="S21" s="1"/>
  <c r="S14" s="1"/>
  <c r="I21"/>
  <c r="G21"/>
  <c r="F21"/>
  <c r="D21"/>
  <c r="T20"/>
  <c r="P20"/>
  <c r="L20"/>
  <c r="T19"/>
  <c r="L19"/>
  <c r="H19"/>
  <c r="T18"/>
  <c r="P18"/>
  <c r="L18"/>
  <c r="H18"/>
  <c r="T17"/>
  <c r="P17"/>
  <c r="L17"/>
  <c r="H17"/>
  <c r="K16"/>
  <c r="M16" s="1"/>
  <c r="N16" s="1"/>
  <c r="O16" s="1"/>
  <c r="Q16" s="1"/>
  <c r="R16" s="1"/>
  <c r="S16" s="1"/>
  <c r="H16"/>
  <c r="T15"/>
  <c r="P15"/>
  <c r="L15"/>
  <c r="G14"/>
  <c r="F14"/>
  <c r="H15"/>
  <c r="O14"/>
  <c r="M14"/>
  <c r="T11"/>
  <c r="P11"/>
  <c r="L11"/>
  <c r="H11"/>
  <c r="S10"/>
  <c r="R10"/>
  <c r="R6" s="1"/>
  <c r="R13" s="1"/>
  <c r="Q10"/>
  <c r="O10"/>
  <c r="N10"/>
  <c r="M10"/>
  <c r="K10"/>
  <c r="K6" s="1"/>
  <c r="K13" s="1"/>
  <c r="J10"/>
  <c r="J6" s="1"/>
  <c r="J13" s="1"/>
  <c r="I10"/>
  <c r="G10"/>
  <c r="G6" s="1"/>
  <c r="G13" s="1"/>
  <c r="F10"/>
  <c r="D10"/>
  <c r="D6" s="1"/>
  <c r="D13" s="1"/>
  <c r="T9"/>
  <c r="L9"/>
  <c r="H9"/>
  <c r="T8"/>
  <c r="P8"/>
  <c r="L8"/>
  <c r="H8"/>
  <c r="T7"/>
  <c r="P7"/>
  <c r="L7"/>
  <c r="H7"/>
  <c r="S6"/>
  <c r="S13" s="1"/>
  <c r="Q6"/>
  <c r="Q13" s="1"/>
  <c r="N6"/>
  <c r="N13" s="1"/>
  <c r="M6"/>
  <c r="M13" s="1"/>
  <c r="I6"/>
  <c r="I13" s="1"/>
  <c r="F6"/>
  <c r="F13" s="1"/>
  <c r="M19" i="2"/>
  <c r="D15"/>
  <c r="L10" i="16" l="1"/>
  <c r="I14"/>
  <c r="T14"/>
  <c r="Q23"/>
  <c r="L21" i="15"/>
  <c r="L16"/>
  <c r="N14"/>
  <c r="S14" i="16"/>
  <c r="V17"/>
  <c r="L10" i="15"/>
  <c r="P23"/>
  <c r="U10" i="16"/>
  <c r="R14"/>
  <c r="V24"/>
  <c r="V26"/>
  <c r="K14" i="15"/>
  <c r="U17"/>
  <c r="V8" i="16"/>
  <c r="H10"/>
  <c r="D14"/>
  <c r="H14" s="1"/>
  <c r="P14"/>
  <c r="L23"/>
  <c r="K14" i="21"/>
  <c r="N6"/>
  <c r="P6" s="1"/>
  <c r="U8" i="15"/>
  <c r="T10"/>
  <c r="T6" s="1"/>
  <c r="T13" s="1"/>
  <c r="J14"/>
  <c r="U15"/>
  <c r="U24"/>
  <c r="U26"/>
  <c r="O14" i="16"/>
  <c r="H10" i="15"/>
  <c r="I14"/>
  <c r="H21"/>
  <c r="L23"/>
  <c r="Q10" i="16"/>
  <c r="N14"/>
  <c r="V18"/>
  <c r="H21"/>
  <c r="V21" s="1"/>
  <c r="U23"/>
  <c r="P14" i="15"/>
  <c r="P27" s="1"/>
  <c r="R14"/>
  <c r="K14" i="16"/>
  <c r="H23"/>
  <c r="V25"/>
  <c r="L6" i="15"/>
  <c r="L13" s="1"/>
  <c r="P10"/>
  <c r="Q14"/>
  <c r="U18"/>
  <c r="T23"/>
  <c r="V9" i="16"/>
  <c r="J14"/>
  <c r="V15"/>
  <c r="S7" i="1"/>
  <c r="R6"/>
  <c r="P15" i="21"/>
  <c r="Q15" s="1"/>
  <c r="Q23"/>
  <c r="R23"/>
  <c r="O7"/>
  <c r="O6" s="1"/>
  <c r="L14"/>
  <c r="J7" i="16"/>
  <c r="K7" s="1"/>
  <c r="R19" i="18"/>
  <c r="P14"/>
  <c r="Q14" s="1"/>
  <c r="Q19"/>
  <c r="L16" i="16"/>
  <c r="Q16"/>
  <c r="U16"/>
  <c r="L19"/>
  <c r="Q19"/>
  <c r="U19"/>
  <c r="L20"/>
  <c r="Q20"/>
  <c r="U20"/>
  <c r="M20" i="20"/>
  <c r="K14"/>
  <c r="L14" s="1"/>
  <c r="L27" s="1"/>
  <c r="L20"/>
  <c r="P16" i="15"/>
  <c r="T16"/>
  <c r="P21"/>
  <c r="T21"/>
  <c r="O6" i="20"/>
  <c r="O13" s="1"/>
  <c r="P8"/>
  <c r="P19" i="15"/>
  <c r="U19" s="1"/>
  <c r="H20"/>
  <c r="U20" s="1"/>
  <c r="I6" i="16"/>
  <c r="I13" s="1"/>
  <c r="O6" i="15"/>
  <c r="O13" s="1"/>
  <c r="S19" i="20"/>
  <c r="T19" s="1"/>
  <c r="U19" s="1"/>
  <c r="H6" i="16"/>
  <c r="H13" s="1"/>
  <c r="V11"/>
  <c r="D14" i="15"/>
  <c r="H14" s="1"/>
  <c r="U7"/>
  <c r="H6"/>
  <c r="H13" s="1"/>
  <c r="U11"/>
  <c r="J6" i="16" l="1"/>
  <c r="J13" s="1"/>
  <c r="U23" i="15"/>
  <c r="N14" i="21"/>
  <c r="V23" i="16"/>
  <c r="L14"/>
  <c r="L27" s="1"/>
  <c r="Q14"/>
  <c r="Q27" s="1"/>
  <c r="V10"/>
  <c r="H27"/>
  <c r="U10" i="15"/>
  <c r="L14"/>
  <c r="L27" s="1"/>
  <c r="U14" i="16"/>
  <c r="U27" s="1"/>
  <c r="T14" i="15"/>
  <c r="T27" s="1"/>
  <c r="T7" i="1"/>
  <c r="T6" s="1"/>
  <c r="S6"/>
  <c r="S23" i="21"/>
  <c r="R15"/>
  <c r="Q28"/>
  <c r="P7"/>
  <c r="Q7" s="1"/>
  <c r="Q6" s="1"/>
  <c r="O14"/>
  <c r="K6" i="16"/>
  <c r="K13" s="1"/>
  <c r="L7"/>
  <c r="U21" i="15"/>
  <c r="U16"/>
  <c r="Q27" i="18"/>
  <c r="S19"/>
  <c r="R14"/>
  <c r="V20" i="16"/>
  <c r="V19"/>
  <c r="V16"/>
  <c r="N20" i="20"/>
  <c r="M14"/>
  <c r="P6"/>
  <c r="Q6"/>
  <c r="Q13" s="1"/>
  <c r="P9" i="15"/>
  <c r="H27"/>
  <c r="H11" i="1"/>
  <c r="L29"/>
  <c r="L28"/>
  <c r="L27"/>
  <c r="L26"/>
  <c r="L25"/>
  <c r="L24"/>
  <c r="L18"/>
  <c r="L20"/>
  <c r="L19"/>
  <c r="L17"/>
  <c r="L16"/>
  <c r="L15"/>
  <c r="L10"/>
  <c r="L9"/>
  <c r="L8"/>
  <c r="H29"/>
  <c r="H28"/>
  <c r="H27"/>
  <c r="H26"/>
  <c r="H25"/>
  <c r="H24"/>
  <c r="H18"/>
  <c r="L7"/>
  <c r="V14" i="16" l="1"/>
  <c r="V27"/>
  <c r="U14" i="15"/>
  <c r="T23" i="21"/>
  <c r="S15"/>
  <c r="R7"/>
  <c r="R6" s="1"/>
  <c r="P14"/>
  <c r="Q14"/>
  <c r="L6" i="16"/>
  <c r="O7"/>
  <c r="N6"/>
  <c r="N13" s="1"/>
  <c r="T19" i="18"/>
  <c r="S14"/>
  <c r="O20" i="20"/>
  <c r="N14"/>
  <c r="R6"/>
  <c r="R13" s="1"/>
  <c r="P13"/>
  <c r="P6" i="15"/>
  <c r="U9"/>
  <c r="U27"/>
  <c r="L11" i="2"/>
  <c r="L11" i="1"/>
  <c r="U11"/>
  <c r="U23" i="21" l="1"/>
  <c r="V23" s="1"/>
  <c r="T15"/>
  <c r="U15" s="1"/>
  <c r="S7"/>
  <c r="S6" s="1"/>
  <c r="R14"/>
  <c r="P7" i="16"/>
  <c r="O6"/>
  <c r="O13" s="1"/>
  <c r="L13"/>
  <c r="T14" i="18"/>
  <c r="U14" s="1"/>
  <c r="U19"/>
  <c r="V19" s="1"/>
  <c r="Q20" i="20"/>
  <c r="O14"/>
  <c r="P14" s="1"/>
  <c r="P20"/>
  <c r="S6"/>
  <c r="S13" s="1"/>
  <c r="T8"/>
  <c r="P13" i="15"/>
  <c r="U13" s="1"/>
  <c r="U6"/>
  <c r="T11" i="13"/>
  <c r="T11" i="12"/>
  <c r="T11" i="10"/>
  <c r="T11" i="7"/>
  <c r="T11" i="6"/>
  <c r="U11" i="5"/>
  <c r="T11" i="4"/>
  <c r="T11" i="3"/>
  <c r="L11"/>
  <c r="U28" i="21" l="1"/>
  <c r="V28" s="1"/>
  <c r="W28" s="1"/>
  <c r="V15"/>
  <c r="T7"/>
  <c r="T6" s="1"/>
  <c r="S14"/>
  <c r="P6" i="16"/>
  <c r="P13" s="1"/>
  <c r="Q7"/>
  <c r="R7"/>
  <c r="U27" i="18"/>
  <c r="V14"/>
  <c r="P27" i="20"/>
  <c r="R20"/>
  <c r="Q14"/>
  <c r="T6"/>
  <c r="U8"/>
  <c r="D17" i="1"/>
  <c r="D9"/>
  <c r="D6" s="1"/>
  <c r="H8"/>
  <c r="U14" i="14"/>
  <c r="U12" i="13"/>
  <c r="U15"/>
  <c r="U12" i="12"/>
  <c r="U12" i="10"/>
  <c r="U15"/>
  <c r="V14" i="9"/>
  <c r="H9" i="1" l="1"/>
  <c r="H17"/>
  <c r="T14" i="21"/>
  <c r="U7"/>
  <c r="S7" i="16"/>
  <c r="R6"/>
  <c r="R13" s="1"/>
  <c r="Q6"/>
  <c r="V27" i="18"/>
  <c r="S20" i="20"/>
  <c r="R14"/>
  <c r="T13"/>
  <c r="U13" s="1"/>
  <c r="U6"/>
  <c r="T12" i="8"/>
  <c r="T15"/>
  <c r="U12" i="7"/>
  <c r="V12" i="5"/>
  <c r="V15"/>
  <c r="U12" i="3"/>
  <c r="U6" i="21" l="1"/>
  <c r="V7"/>
  <c r="Q13" i="16"/>
  <c r="T7"/>
  <c r="S6"/>
  <c r="S13" s="1"/>
  <c r="S14" i="20"/>
  <c r="T14" s="1"/>
  <c r="T20"/>
  <c r="U20" s="1"/>
  <c r="U12" i="4"/>
  <c r="U15"/>
  <c r="K4" i="13"/>
  <c r="K4" i="12"/>
  <c r="K4" i="10"/>
  <c r="O9" s="1"/>
  <c r="K4" i="9"/>
  <c r="N7" s="1"/>
  <c r="J4" i="8"/>
  <c r="K4" i="7"/>
  <c r="K4" i="5"/>
  <c r="N7" s="1"/>
  <c r="K4" i="4"/>
  <c r="D8" i="7" l="1"/>
  <c r="M9"/>
  <c r="O18"/>
  <c r="R9"/>
  <c r="K18"/>
  <c r="L18" s="1"/>
  <c r="K9"/>
  <c r="L9" s="1"/>
  <c r="N9"/>
  <c r="R18"/>
  <c r="M18"/>
  <c r="O9"/>
  <c r="P9" s="1"/>
  <c r="S18"/>
  <c r="N18"/>
  <c r="S9"/>
  <c r="N7" i="8"/>
  <c r="D24"/>
  <c r="E24" s="1"/>
  <c r="F24" s="1"/>
  <c r="D22"/>
  <c r="E22" s="1"/>
  <c r="F22" s="1"/>
  <c r="H22" s="1"/>
  <c r="I22" s="1"/>
  <c r="J22" s="1"/>
  <c r="L22" s="1"/>
  <c r="M22" s="1"/>
  <c r="N22" s="1"/>
  <c r="P22" s="1"/>
  <c r="Q22" s="1"/>
  <c r="R22" s="1"/>
  <c r="F21"/>
  <c r="H21" s="1"/>
  <c r="I21" s="1"/>
  <c r="J21" s="1"/>
  <c r="L21" s="1"/>
  <c r="M21" s="1"/>
  <c r="E21"/>
  <c r="D21"/>
  <c r="R19"/>
  <c r="Q19"/>
  <c r="P19"/>
  <c r="N19"/>
  <c r="M19"/>
  <c r="L19"/>
  <c r="I19"/>
  <c r="H19"/>
  <c r="F19"/>
  <c r="E19"/>
  <c r="D19"/>
  <c r="D18"/>
  <c r="Q17"/>
  <c r="P17"/>
  <c r="N17"/>
  <c r="M17"/>
  <c r="L17"/>
  <c r="J17"/>
  <c r="I17"/>
  <c r="H17"/>
  <c r="F17"/>
  <c r="E17"/>
  <c r="R9"/>
  <c r="Q9"/>
  <c r="P9"/>
  <c r="M9"/>
  <c r="L9"/>
  <c r="I9"/>
  <c r="H9"/>
  <c r="F9"/>
  <c r="E9"/>
  <c r="D9"/>
  <c r="Q8"/>
  <c r="P8"/>
  <c r="N8"/>
  <c r="M8"/>
  <c r="L8"/>
  <c r="J8"/>
  <c r="I8"/>
  <c r="H8"/>
  <c r="F8"/>
  <c r="E8"/>
  <c r="D8"/>
  <c r="N9"/>
  <c r="D23"/>
  <c r="E23" s="1"/>
  <c r="F23" s="1"/>
  <c r="H23" s="1"/>
  <c r="I23" s="1"/>
  <c r="J23" s="1"/>
  <c r="L23" s="1"/>
  <c r="M23" s="1"/>
  <c r="N23" s="1"/>
  <c r="P23" s="1"/>
  <c r="Q23" s="1"/>
  <c r="R23" s="1"/>
  <c r="E18"/>
  <c r="F18" s="1"/>
  <c r="H18" s="1"/>
  <c r="I18" s="1"/>
  <c r="J18" s="1"/>
  <c r="L18" s="1"/>
  <c r="M18" s="1"/>
  <c r="D17"/>
  <c r="N10"/>
  <c r="P10" s="1"/>
  <c r="Q10" s="1"/>
  <c r="R10" s="1"/>
  <c r="M10"/>
  <c r="L10"/>
  <c r="J10"/>
  <c r="I10"/>
  <c r="H10"/>
  <c r="E10"/>
  <c r="D10"/>
  <c r="D7"/>
  <c r="F23" i="12"/>
  <c r="G23" s="1"/>
  <c r="F22"/>
  <c r="G22" s="1"/>
  <c r="I22" s="1"/>
  <c r="J22" s="1"/>
  <c r="I21"/>
  <c r="J21" s="1"/>
  <c r="G21"/>
  <c r="F21"/>
  <c r="F20"/>
  <c r="G20" s="1"/>
  <c r="I20" s="1"/>
  <c r="J20" s="1"/>
  <c r="S18"/>
  <c r="R18"/>
  <c r="Q18"/>
  <c r="O18"/>
  <c r="N18"/>
  <c r="M18"/>
  <c r="K18"/>
  <c r="J18"/>
  <c r="I18"/>
  <c r="G18"/>
  <c r="J17"/>
  <c r="I17"/>
  <c r="G17"/>
  <c r="F17"/>
  <c r="S16"/>
  <c r="R16"/>
  <c r="Q16"/>
  <c r="O16"/>
  <c r="N16"/>
  <c r="M16"/>
  <c r="K16"/>
  <c r="J16"/>
  <c r="I16"/>
  <c r="G16"/>
  <c r="F16"/>
  <c r="S8"/>
  <c r="R8"/>
  <c r="F10"/>
  <c r="G10" s="1"/>
  <c r="I10" s="1"/>
  <c r="J10" s="1"/>
  <c r="K10" s="1"/>
  <c r="S9"/>
  <c r="R9"/>
  <c r="Q9"/>
  <c r="N9"/>
  <c r="O9" s="1"/>
  <c r="M9"/>
  <c r="K9"/>
  <c r="J9"/>
  <c r="I9"/>
  <c r="G9"/>
  <c r="F8"/>
  <c r="F7"/>
  <c r="Q8"/>
  <c r="O8"/>
  <c r="N8"/>
  <c r="M8"/>
  <c r="K8"/>
  <c r="J8"/>
  <c r="I8"/>
  <c r="G8"/>
  <c r="F23" i="10"/>
  <c r="G23" s="1"/>
  <c r="F22"/>
  <c r="G22" s="1"/>
  <c r="I22" s="1"/>
  <c r="J22" s="1"/>
  <c r="K22" s="1"/>
  <c r="M22" s="1"/>
  <c r="N22" s="1"/>
  <c r="O22" s="1"/>
  <c r="Q22" s="1"/>
  <c r="R22" s="1"/>
  <c r="S22" s="1"/>
  <c r="F21"/>
  <c r="G21" s="1"/>
  <c r="I21" s="1"/>
  <c r="J21" s="1"/>
  <c r="K21" s="1"/>
  <c r="M21" s="1"/>
  <c r="N21" s="1"/>
  <c r="O21" s="1"/>
  <c r="Q21" s="1"/>
  <c r="R21" s="1"/>
  <c r="S21" s="1"/>
  <c r="O19"/>
  <c r="M19"/>
  <c r="K19"/>
  <c r="J19"/>
  <c r="I19"/>
  <c r="G19"/>
  <c r="F19"/>
  <c r="G18"/>
  <c r="I18" s="1"/>
  <c r="J18" s="1"/>
  <c r="K18" s="1"/>
  <c r="M18" s="1"/>
  <c r="N18" s="1"/>
  <c r="O18" s="1"/>
  <c r="Q18" s="1"/>
  <c r="R18" s="1"/>
  <c r="S18" s="1"/>
  <c r="F18"/>
  <c r="S17"/>
  <c r="R17"/>
  <c r="Q17"/>
  <c r="O17"/>
  <c r="N17"/>
  <c r="M17"/>
  <c r="K17"/>
  <c r="J17"/>
  <c r="I17"/>
  <c r="G17"/>
  <c r="F17"/>
  <c r="M9"/>
  <c r="K9"/>
  <c r="J9"/>
  <c r="I9"/>
  <c r="G9"/>
  <c r="F9"/>
  <c r="S8"/>
  <c r="R8"/>
  <c r="Q8"/>
  <c r="O8"/>
  <c r="N8"/>
  <c r="M8"/>
  <c r="K8"/>
  <c r="J8"/>
  <c r="I8"/>
  <c r="G8"/>
  <c r="F8"/>
  <c r="F7"/>
  <c r="G7" s="1"/>
  <c r="I7" s="1"/>
  <c r="J7" s="1"/>
  <c r="K7" s="1"/>
  <c r="M7" s="1"/>
  <c r="N7" s="1"/>
  <c r="O7" s="1"/>
  <c r="Q7" s="1"/>
  <c r="R7" s="1"/>
  <c r="S7" s="1"/>
  <c r="D19"/>
  <c r="D9"/>
  <c r="F23" i="9"/>
  <c r="G23" s="1"/>
  <c r="F22"/>
  <c r="G22" s="1"/>
  <c r="I22" s="1"/>
  <c r="J22" s="1"/>
  <c r="F21"/>
  <c r="G21" s="1"/>
  <c r="I21" s="1"/>
  <c r="J21" s="1"/>
  <c r="F20"/>
  <c r="G20" s="1"/>
  <c r="I20" s="1"/>
  <c r="J20" s="1"/>
  <c r="T18"/>
  <c r="S18"/>
  <c r="R18"/>
  <c r="P18"/>
  <c r="O18"/>
  <c r="N18"/>
  <c r="K18"/>
  <c r="J18"/>
  <c r="I18"/>
  <c r="G18"/>
  <c r="F18"/>
  <c r="F17"/>
  <c r="G17" s="1"/>
  <c r="I17" s="1"/>
  <c r="J17" s="1"/>
  <c r="K17" s="1"/>
  <c r="N17" s="1"/>
  <c r="O17" s="1"/>
  <c r="P17" s="1"/>
  <c r="R17" s="1"/>
  <c r="S17" s="1"/>
  <c r="T17" s="1"/>
  <c r="T16"/>
  <c r="S16"/>
  <c r="R16"/>
  <c r="P16"/>
  <c r="O16"/>
  <c r="N16"/>
  <c r="K16"/>
  <c r="J16"/>
  <c r="I16"/>
  <c r="G16"/>
  <c r="F16"/>
  <c r="F10"/>
  <c r="G10" s="1"/>
  <c r="I10" s="1"/>
  <c r="J10" s="1"/>
  <c r="K10" s="1"/>
  <c r="T9"/>
  <c r="S9"/>
  <c r="R9"/>
  <c r="P9"/>
  <c r="O9"/>
  <c r="N9"/>
  <c r="K9"/>
  <c r="J9"/>
  <c r="I9"/>
  <c r="G9"/>
  <c r="F9"/>
  <c r="T8"/>
  <c r="S8"/>
  <c r="R8"/>
  <c r="P8"/>
  <c r="O8"/>
  <c r="N8"/>
  <c r="K8"/>
  <c r="J8"/>
  <c r="I8"/>
  <c r="G8"/>
  <c r="F8"/>
  <c r="F7"/>
  <c r="F24" i="13"/>
  <c r="G24" s="1"/>
  <c r="F23"/>
  <c r="G23" s="1"/>
  <c r="I23" s="1"/>
  <c r="J23" s="1"/>
  <c r="F22"/>
  <c r="G22" s="1"/>
  <c r="I22" s="1"/>
  <c r="J22" s="1"/>
  <c r="F21"/>
  <c r="G21" s="1"/>
  <c r="I21" s="1"/>
  <c r="J21" s="1"/>
  <c r="S19"/>
  <c r="R19"/>
  <c r="Q19"/>
  <c r="O19"/>
  <c r="N19"/>
  <c r="M19"/>
  <c r="K19"/>
  <c r="J19"/>
  <c r="I19"/>
  <c r="G19"/>
  <c r="F19"/>
  <c r="F18"/>
  <c r="G18" s="1"/>
  <c r="I18" s="1"/>
  <c r="J18" s="1"/>
  <c r="K18" s="1"/>
  <c r="S17"/>
  <c r="R17"/>
  <c r="Q17"/>
  <c r="O17"/>
  <c r="N17"/>
  <c r="M17"/>
  <c r="K17"/>
  <c r="J17"/>
  <c r="I17"/>
  <c r="G17"/>
  <c r="F17"/>
  <c r="F8"/>
  <c r="F7"/>
  <c r="G7" s="1"/>
  <c r="I7" s="1"/>
  <c r="J7" s="1"/>
  <c r="F10"/>
  <c r="G10" s="1"/>
  <c r="I10" s="1"/>
  <c r="J10" s="1"/>
  <c r="F9"/>
  <c r="G9"/>
  <c r="S9"/>
  <c r="R9"/>
  <c r="Q9"/>
  <c r="O9"/>
  <c r="M9"/>
  <c r="N9" s="1"/>
  <c r="K9"/>
  <c r="J9"/>
  <c r="I9"/>
  <c r="S8"/>
  <c r="R8"/>
  <c r="Q8"/>
  <c r="O8"/>
  <c r="N8"/>
  <c r="M8"/>
  <c r="K8"/>
  <c r="I8"/>
  <c r="J8" s="1"/>
  <c r="G8"/>
  <c r="F18" i="5"/>
  <c r="G18" s="1"/>
  <c r="I18" s="1"/>
  <c r="F7"/>
  <c r="G7" s="1"/>
  <c r="I7" s="1"/>
  <c r="O10"/>
  <c r="P10" s="1"/>
  <c r="N10"/>
  <c r="K10"/>
  <c r="J10"/>
  <c r="I10"/>
  <c r="G10"/>
  <c r="F10"/>
  <c r="F24"/>
  <c r="G24" s="1"/>
  <c r="G23"/>
  <c r="I23" s="1"/>
  <c r="F23"/>
  <c r="F22"/>
  <c r="G22" s="1"/>
  <c r="I22" s="1"/>
  <c r="J22" s="1"/>
  <c r="F21"/>
  <c r="G21" s="1"/>
  <c r="I21" s="1"/>
  <c r="T19"/>
  <c r="S19"/>
  <c r="R19"/>
  <c r="P19"/>
  <c r="O19"/>
  <c r="N19"/>
  <c r="J19"/>
  <c r="I19"/>
  <c r="G19"/>
  <c r="F19"/>
  <c r="T17"/>
  <c r="S17"/>
  <c r="R17"/>
  <c r="P17"/>
  <c r="O17"/>
  <c r="N17"/>
  <c r="K17"/>
  <c r="J17"/>
  <c r="I17"/>
  <c r="G17"/>
  <c r="F17"/>
  <c r="T9"/>
  <c r="S9"/>
  <c r="R9"/>
  <c r="P9"/>
  <c r="O9"/>
  <c r="N9"/>
  <c r="J9"/>
  <c r="I9"/>
  <c r="G9"/>
  <c r="F9"/>
  <c r="T8"/>
  <c r="S8"/>
  <c r="R8"/>
  <c r="P8"/>
  <c r="O8"/>
  <c r="N8"/>
  <c r="K8"/>
  <c r="J8"/>
  <c r="I8"/>
  <c r="G8"/>
  <c r="F8"/>
  <c r="D7"/>
  <c r="D8" i="4"/>
  <c r="F24"/>
  <c r="J23"/>
  <c r="I23"/>
  <c r="G23"/>
  <c r="F23"/>
  <c r="F22"/>
  <c r="G22" s="1"/>
  <c r="I22" s="1"/>
  <c r="J22" s="1"/>
  <c r="K22" s="1"/>
  <c r="F21"/>
  <c r="G21" s="1"/>
  <c r="I21" s="1"/>
  <c r="S19"/>
  <c r="R19"/>
  <c r="Q19"/>
  <c r="O19"/>
  <c r="N19"/>
  <c r="M19"/>
  <c r="K19"/>
  <c r="J19"/>
  <c r="I19"/>
  <c r="G19"/>
  <c r="F19"/>
  <c r="F18"/>
  <c r="G18" s="1"/>
  <c r="I18" s="1"/>
  <c r="J18" s="1"/>
  <c r="S17"/>
  <c r="R17"/>
  <c r="Q17"/>
  <c r="O17"/>
  <c r="N17"/>
  <c r="M17"/>
  <c r="K17"/>
  <c r="J17"/>
  <c r="I17"/>
  <c r="G17"/>
  <c r="F17"/>
  <c r="F10"/>
  <c r="S9"/>
  <c r="R9"/>
  <c r="Q9"/>
  <c r="O9"/>
  <c r="N9"/>
  <c r="M9"/>
  <c r="K9"/>
  <c r="J9"/>
  <c r="I9"/>
  <c r="G9"/>
  <c r="F9"/>
  <c r="S8"/>
  <c r="R8"/>
  <c r="Q8"/>
  <c r="O8"/>
  <c r="N8"/>
  <c r="M8"/>
  <c r="K8"/>
  <c r="J8"/>
  <c r="I8"/>
  <c r="G8"/>
  <c r="F8"/>
  <c r="F7"/>
  <c r="G7" s="1"/>
  <c r="I7" s="1"/>
  <c r="U14" i="21"/>
  <c r="V14" s="1"/>
  <c r="V6"/>
  <c r="D17" i="7"/>
  <c r="S16"/>
  <c r="R16"/>
  <c r="Q16"/>
  <c r="O16"/>
  <c r="N16"/>
  <c r="M16"/>
  <c r="K16"/>
  <c r="I16"/>
  <c r="H16"/>
  <c r="F16"/>
  <c r="E16"/>
  <c r="D23"/>
  <c r="S8"/>
  <c r="R8"/>
  <c r="Q8"/>
  <c r="O8"/>
  <c r="N8"/>
  <c r="M8"/>
  <c r="K8"/>
  <c r="I8"/>
  <c r="H8"/>
  <c r="F8"/>
  <c r="E8"/>
  <c r="T6" i="16"/>
  <c r="T13" s="1"/>
  <c r="U7"/>
  <c r="G7" i="9"/>
  <c r="I7" s="1"/>
  <c r="J7" s="1"/>
  <c r="T27" i="20"/>
  <c r="U14"/>
  <c r="P7" i="8"/>
  <c r="Q7" s="1"/>
  <c r="R7" s="1"/>
  <c r="K23" i="13"/>
  <c r="M23" s="1"/>
  <c r="N23" s="1"/>
  <c r="K22"/>
  <c r="M22" s="1"/>
  <c r="N22" s="1"/>
  <c r="O22" s="1"/>
  <c r="Q22" s="1"/>
  <c r="R22" s="1"/>
  <c r="S22" s="1"/>
  <c r="K21"/>
  <c r="M21" s="1"/>
  <c r="N21" s="1"/>
  <c r="O21" s="1"/>
  <c r="Q21" s="1"/>
  <c r="R21" s="1"/>
  <c r="S21" s="1"/>
  <c r="K7"/>
  <c r="M7" s="1"/>
  <c r="N7" s="1"/>
  <c r="O7" s="1"/>
  <c r="Q7" s="1"/>
  <c r="R7" s="1"/>
  <c r="S7" s="1"/>
  <c r="K10"/>
  <c r="M10" s="1"/>
  <c r="D19" i="5"/>
  <c r="D9"/>
  <c r="D18" i="9"/>
  <c r="D9"/>
  <c r="L30" i="13"/>
  <c r="L29"/>
  <c r="L28"/>
  <c r="L27"/>
  <c r="L26"/>
  <c r="L20"/>
  <c r="L31" i="12"/>
  <c r="L30"/>
  <c r="L29"/>
  <c r="L28"/>
  <c r="L27"/>
  <c r="L26"/>
  <c r="L25"/>
  <c r="L19"/>
  <c r="L27" i="10"/>
  <c r="L26"/>
  <c r="L20"/>
  <c r="L30" i="9"/>
  <c r="L29"/>
  <c r="L28"/>
  <c r="L27"/>
  <c r="L26"/>
  <c r="L25"/>
  <c r="L19"/>
  <c r="L29" i="6"/>
  <c r="L28"/>
  <c r="L27"/>
  <c r="L26"/>
  <c r="L24"/>
  <c r="L18"/>
  <c r="L32" i="5"/>
  <c r="L31"/>
  <c r="L30"/>
  <c r="L29"/>
  <c r="L28"/>
  <c r="L27"/>
  <c r="L26"/>
  <c r="L20"/>
  <c r="L29" i="4"/>
  <c r="L28"/>
  <c r="L27"/>
  <c r="L26"/>
  <c r="L20"/>
  <c r="L30" i="3"/>
  <c r="L29"/>
  <c r="L28"/>
  <c r="L27"/>
  <c r="L26"/>
  <c r="L25"/>
  <c r="L19"/>
  <c r="L18" i="12"/>
  <c r="G19" i="8"/>
  <c r="K19"/>
  <c r="O19"/>
  <c r="S19"/>
  <c r="G20"/>
  <c r="K20"/>
  <c r="O20"/>
  <c r="S20"/>
  <c r="F6" i="12" l="1"/>
  <c r="E7" i="8"/>
  <c r="D6"/>
  <c r="F10"/>
  <c r="G24"/>
  <c r="H24"/>
  <c r="G7" i="12"/>
  <c r="G6" s="1"/>
  <c r="H23"/>
  <c r="I23"/>
  <c r="J23" s="1"/>
  <c r="K23" s="1"/>
  <c r="H23" i="10"/>
  <c r="I23"/>
  <c r="J23" s="1"/>
  <c r="K23" s="1"/>
  <c r="H23" i="9"/>
  <c r="I23"/>
  <c r="J23" s="1"/>
  <c r="K23" s="1"/>
  <c r="H24" i="13"/>
  <c r="I24"/>
  <c r="J24" s="1"/>
  <c r="K24" s="1"/>
  <c r="J7" i="5"/>
  <c r="K7" s="1"/>
  <c r="O7" s="1"/>
  <c r="P7" s="1"/>
  <c r="R7" s="1"/>
  <c r="S7" s="1"/>
  <c r="T7" s="1"/>
  <c r="I6"/>
  <c r="H24"/>
  <c r="I24"/>
  <c r="J24" s="1"/>
  <c r="K24" s="1"/>
  <c r="H17"/>
  <c r="G24" i="4"/>
  <c r="I24" s="1"/>
  <c r="E23" i="7"/>
  <c r="F23" s="1"/>
  <c r="H23" s="1"/>
  <c r="U6" i="16"/>
  <c r="V7"/>
  <c r="U27" i="20"/>
  <c r="O23" i="13"/>
  <c r="Q23" s="1"/>
  <c r="R23" s="1"/>
  <c r="S23" s="1"/>
  <c r="N10"/>
  <c r="O10"/>
  <c r="Q10" s="1"/>
  <c r="R10" s="1"/>
  <c r="S10" s="1"/>
  <c r="N18"/>
  <c r="M18"/>
  <c r="O18" s="1"/>
  <c r="T19" i="8"/>
  <c r="T20"/>
  <c r="L19" i="13"/>
  <c r="D19"/>
  <c r="L9"/>
  <c r="D9"/>
  <c r="D17" i="2"/>
  <c r="G23" i="7" l="1"/>
  <c r="F7" i="8"/>
  <c r="E6"/>
  <c r="I24"/>
  <c r="J24" s="1"/>
  <c r="L24" s="1"/>
  <c r="L23" i="12"/>
  <c r="M23"/>
  <c r="N23" s="1"/>
  <c r="O23" s="1"/>
  <c r="I7"/>
  <c r="I6" s="1"/>
  <c r="L23" i="10"/>
  <c r="M23"/>
  <c r="L23" i="9"/>
  <c r="N23"/>
  <c r="O23" s="1"/>
  <c r="P23" s="1"/>
  <c r="L24" i="13"/>
  <c r="M24"/>
  <c r="N24" s="1"/>
  <c r="O24" s="1"/>
  <c r="L24" i="5"/>
  <c r="N24"/>
  <c r="O24" s="1"/>
  <c r="P24" s="1"/>
  <c r="J24" i="4"/>
  <c r="K24" s="1"/>
  <c r="M24" s="1"/>
  <c r="N24" s="1"/>
  <c r="O24" s="1"/>
  <c r="H24"/>
  <c r="I23" i="7"/>
  <c r="K23" s="1"/>
  <c r="M23" s="1"/>
  <c r="U13" i="16"/>
  <c r="V13" s="1"/>
  <c r="V6"/>
  <c r="R18" i="13"/>
  <c r="Q18"/>
  <c r="L9" i="4"/>
  <c r="L19"/>
  <c r="L19" i="5"/>
  <c r="L9" i="6"/>
  <c r="L17"/>
  <c r="L9" i="10"/>
  <c r="L19"/>
  <c r="L9" i="5"/>
  <c r="L23" i="7" l="1"/>
  <c r="H7" i="8"/>
  <c r="I7" s="1"/>
  <c r="J7" s="1"/>
  <c r="L7" s="1"/>
  <c r="M7" s="1"/>
  <c r="F6"/>
  <c r="M24"/>
  <c r="N24" s="1"/>
  <c r="P24" s="1"/>
  <c r="K24"/>
  <c r="P23" i="12"/>
  <c r="Q23"/>
  <c r="R23" s="1"/>
  <c r="S23" s="1"/>
  <c r="T23" s="1"/>
  <c r="N23" i="10"/>
  <c r="O23" s="1"/>
  <c r="Q23" s="1"/>
  <c r="R23" s="1"/>
  <c r="S23" s="1"/>
  <c r="T23" s="1"/>
  <c r="Q23" i="9"/>
  <c r="R23"/>
  <c r="S23" s="1"/>
  <c r="T23" s="1"/>
  <c r="U23" s="1"/>
  <c r="P24" i="13"/>
  <c r="Q24"/>
  <c r="R24" s="1"/>
  <c r="S24" s="1"/>
  <c r="T24" s="1"/>
  <c r="Q24" i="5"/>
  <c r="R24"/>
  <c r="S24" s="1"/>
  <c r="T24" s="1"/>
  <c r="U24" s="1"/>
  <c r="P24" i="4"/>
  <c r="Q24"/>
  <c r="R24" s="1"/>
  <c r="S24" s="1"/>
  <c r="T24" s="1"/>
  <c r="L24"/>
  <c r="U24" s="1"/>
  <c r="N23" i="7"/>
  <c r="O23" s="1"/>
  <c r="Q23" s="1"/>
  <c r="S18" i="13"/>
  <c r="K4" i="3"/>
  <c r="P23" i="7" l="1"/>
  <c r="Q24" i="8"/>
  <c r="R24" s="1"/>
  <c r="O24"/>
  <c r="U23" i="12"/>
  <c r="P23" i="10"/>
  <c r="U23" s="1"/>
  <c r="V23" i="9"/>
  <c r="U24" i="13"/>
  <c r="V24" i="5"/>
  <c r="F23" i="3"/>
  <c r="G23" s="1"/>
  <c r="F22"/>
  <c r="G22" s="1"/>
  <c r="I22" s="1"/>
  <c r="J22" s="1"/>
  <c r="K22" s="1"/>
  <c r="M22" s="1"/>
  <c r="N22" s="1"/>
  <c r="O22" s="1"/>
  <c r="Q22" s="1"/>
  <c r="R22" s="1"/>
  <c r="S22" s="1"/>
  <c r="F21"/>
  <c r="G21" s="1"/>
  <c r="I21" s="1"/>
  <c r="J21" s="1"/>
  <c r="K21" s="1"/>
  <c r="M21" s="1"/>
  <c r="N21" s="1"/>
  <c r="O21" s="1"/>
  <c r="Q21" s="1"/>
  <c r="R21" s="1"/>
  <c r="S21" s="1"/>
  <c r="F20"/>
  <c r="G20" s="1"/>
  <c r="I20" s="1"/>
  <c r="J20" s="1"/>
  <c r="K20" s="1"/>
  <c r="M20" s="1"/>
  <c r="N20" s="1"/>
  <c r="O20" s="1"/>
  <c r="Q20" s="1"/>
  <c r="R20" s="1"/>
  <c r="S20" s="1"/>
  <c r="S18"/>
  <c r="R18"/>
  <c r="Q18"/>
  <c r="N18"/>
  <c r="O18"/>
  <c r="M18"/>
  <c r="K18"/>
  <c r="J18"/>
  <c r="I18"/>
  <c r="G18"/>
  <c r="F18"/>
  <c r="F17"/>
  <c r="G17" s="1"/>
  <c r="I17" s="1"/>
  <c r="J17" s="1"/>
  <c r="K17" s="1"/>
  <c r="M17" s="1"/>
  <c r="N17" s="1"/>
  <c r="O17" s="1"/>
  <c r="Q17" s="1"/>
  <c r="R17" s="1"/>
  <c r="S17" s="1"/>
  <c r="S16"/>
  <c r="R16"/>
  <c r="Q16"/>
  <c r="O16"/>
  <c r="N16"/>
  <c r="M16"/>
  <c r="K16"/>
  <c r="J16"/>
  <c r="I16"/>
  <c r="G16"/>
  <c r="F16"/>
  <c r="F10"/>
  <c r="G10" s="1"/>
  <c r="I10" s="1"/>
  <c r="J10" s="1"/>
  <c r="K10" s="1"/>
  <c r="M10" s="1"/>
  <c r="N10" s="1"/>
  <c r="O10" s="1"/>
  <c r="Q10" s="1"/>
  <c r="R10" s="1"/>
  <c r="S10" s="1"/>
  <c r="S9"/>
  <c r="R9"/>
  <c r="Q9"/>
  <c r="O9"/>
  <c r="N9"/>
  <c r="M9"/>
  <c r="K9"/>
  <c r="J9"/>
  <c r="I9"/>
  <c r="G9"/>
  <c r="F9"/>
  <c r="S8"/>
  <c r="R8"/>
  <c r="Q8"/>
  <c r="O8"/>
  <c r="N8"/>
  <c r="M8"/>
  <c r="K8"/>
  <c r="J8"/>
  <c r="I8"/>
  <c r="G8"/>
  <c r="F8"/>
  <c r="F7"/>
  <c r="R23" i="7"/>
  <c r="S23" s="1"/>
  <c r="N18" i="8"/>
  <c r="P18" s="1"/>
  <c r="Q18" s="1"/>
  <c r="R18" s="1"/>
  <c r="T29" i="14"/>
  <c r="T27"/>
  <c r="T26"/>
  <c r="T25"/>
  <c r="T24"/>
  <c r="S23"/>
  <c r="S15" s="1"/>
  <c r="R23"/>
  <c r="Q23"/>
  <c r="T21"/>
  <c r="T20"/>
  <c r="T19"/>
  <c r="T18"/>
  <c r="T17"/>
  <c r="T16"/>
  <c r="R15"/>
  <c r="Q15"/>
  <c r="T10"/>
  <c r="T9"/>
  <c r="T8"/>
  <c r="T7"/>
  <c r="S6"/>
  <c r="S13" s="1"/>
  <c r="R6"/>
  <c r="R13" s="1"/>
  <c r="Q6"/>
  <c r="Q13" s="1"/>
  <c r="T30" i="13"/>
  <c r="T29"/>
  <c r="T28"/>
  <c r="T27"/>
  <c r="T26"/>
  <c r="S25"/>
  <c r="R25"/>
  <c r="R16" s="1"/>
  <c r="Q25"/>
  <c r="Q16" s="1"/>
  <c r="T23"/>
  <c r="T22"/>
  <c r="T21"/>
  <c r="T20"/>
  <c r="T19"/>
  <c r="T18"/>
  <c r="T10"/>
  <c r="T9"/>
  <c r="T8"/>
  <c r="T7"/>
  <c r="S6"/>
  <c r="S14" s="1"/>
  <c r="R6"/>
  <c r="R14" s="1"/>
  <c r="Q6"/>
  <c r="Q14" s="1"/>
  <c r="T31" i="12"/>
  <c r="T30"/>
  <c r="T29"/>
  <c r="T28"/>
  <c r="T27"/>
  <c r="T26"/>
  <c r="T25"/>
  <c r="S24"/>
  <c r="R24"/>
  <c r="Q24"/>
  <c r="T19"/>
  <c r="T18"/>
  <c r="T16"/>
  <c r="T9"/>
  <c r="T8"/>
  <c r="S10" i="10"/>
  <c r="R10"/>
  <c r="R6" s="1"/>
  <c r="R14" s="1"/>
  <c r="Q10"/>
  <c r="T10" s="1"/>
  <c r="T28"/>
  <c r="T27"/>
  <c r="T26"/>
  <c r="S25"/>
  <c r="R25"/>
  <c r="Q25"/>
  <c r="T22"/>
  <c r="T21"/>
  <c r="T20"/>
  <c r="T19"/>
  <c r="T18"/>
  <c r="T17"/>
  <c r="T9"/>
  <c r="T8"/>
  <c r="T7"/>
  <c r="U31" i="9"/>
  <c r="U30"/>
  <c r="U29"/>
  <c r="U28"/>
  <c r="U27"/>
  <c r="U26"/>
  <c r="U25"/>
  <c r="T24"/>
  <c r="S24"/>
  <c r="R24"/>
  <c r="U19"/>
  <c r="U18"/>
  <c r="U16"/>
  <c r="U9"/>
  <c r="U8"/>
  <c r="S30" i="8"/>
  <c r="S29"/>
  <c r="S28"/>
  <c r="S27"/>
  <c r="S26"/>
  <c r="R25"/>
  <c r="Q25"/>
  <c r="P25"/>
  <c r="S23"/>
  <c r="S22"/>
  <c r="S17"/>
  <c r="S10"/>
  <c r="S9"/>
  <c r="S8"/>
  <c r="S7"/>
  <c r="R6"/>
  <c r="R14" s="1"/>
  <c r="Q6"/>
  <c r="Q14" s="1"/>
  <c r="P6"/>
  <c r="P14" s="1"/>
  <c r="S22" i="7"/>
  <c r="R22"/>
  <c r="Q22"/>
  <c r="S21"/>
  <c r="R21"/>
  <c r="Q21"/>
  <c r="S10"/>
  <c r="R10"/>
  <c r="Q10"/>
  <c r="S7"/>
  <c r="R7"/>
  <c r="Q7"/>
  <c r="T31"/>
  <c r="T30"/>
  <c r="T29"/>
  <c r="T28"/>
  <c r="T27"/>
  <c r="T26"/>
  <c r="T25"/>
  <c r="S24"/>
  <c r="R24"/>
  <c r="Q24"/>
  <c r="T22"/>
  <c r="T19"/>
  <c r="T18"/>
  <c r="T16"/>
  <c r="T9"/>
  <c r="T8"/>
  <c r="T29" i="6"/>
  <c r="T28"/>
  <c r="T27"/>
  <c r="T26"/>
  <c r="T24"/>
  <c r="S23"/>
  <c r="R23"/>
  <c r="Q23"/>
  <c r="T21"/>
  <c r="T20"/>
  <c r="T19"/>
  <c r="T18"/>
  <c r="T17"/>
  <c r="T15"/>
  <c r="T10"/>
  <c r="T9"/>
  <c r="T8"/>
  <c r="T7"/>
  <c r="U32" i="5"/>
  <c r="U31"/>
  <c r="U30"/>
  <c r="U29"/>
  <c r="U28"/>
  <c r="U27"/>
  <c r="U26"/>
  <c r="T25"/>
  <c r="S25"/>
  <c r="R25"/>
  <c r="U20"/>
  <c r="U19"/>
  <c r="U17"/>
  <c r="U9"/>
  <c r="U8"/>
  <c r="U7"/>
  <c r="T30" i="4"/>
  <c r="T29"/>
  <c r="T28"/>
  <c r="T27"/>
  <c r="T26"/>
  <c r="S25"/>
  <c r="R25"/>
  <c r="Q25"/>
  <c r="T20"/>
  <c r="T19"/>
  <c r="T17"/>
  <c r="T9"/>
  <c r="T8"/>
  <c r="T21" i="3"/>
  <c r="T17"/>
  <c r="T10"/>
  <c r="T9"/>
  <c r="T30"/>
  <c r="T29"/>
  <c r="T28"/>
  <c r="T27"/>
  <c r="T26"/>
  <c r="T25"/>
  <c r="S24"/>
  <c r="R24"/>
  <c r="Q24"/>
  <c r="T22"/>
  <c r="T20"/>
  <c r="T19"/>
  <c r="T18"/>
  <c r="T16"/>
  <c r="T8"/>
  <c r="S20" i="2"/>
  <c r="R20"/>
  <c r="Q20"/>
  <c r="T33"/>
  <c r="T32"/>
  <c r="T31"/>
  <c r="T30"/>
  <c r="T29"/>
  <c r="T28"/>
  <c r="T27"/>
  <c r="T26"/>
  <c r="T25"/>
  <c r="T24"/>
  <c r="S23"/>
  <c r="R23"/>
  <c r="Q23"/>
  <c r="T20"/>
  <c r="T18"/>
  <c r="T17"/>
  <c r="T15"/>
  <c r="T9"/>
  <c r="T8"/>
  <c r="U29" i="1"/>
  <c r="U28"/>
  <c r="U27"/>
  <c r="U26"/>
  <c r="U25"/>
  <c r="U24"/>
  <c r="T23"/>
  <c r="S23"/>
  <c r="R23"/>
  <c r="U20"/>
  <c r="U19"/>
  <c r="U18"/>
  <c r="U17"/>
  <c r="U16"/>
  <c r="U15"/>
  <c r="U10"/>
  <c r="U9"/>
  <c r="T13"/>
  <c r="S13"/>
  <c r="R13"/>
  <c r="S6" i="7" l="1"/>
  <c r="R6"/>
  <c r="Q6"/>
  <c r="T21"/>
  <c r="T25" i="4"/>
  <c r="F6" i="3"/>
  <c r="T7" i="7"/>
  <c r="T24"/>
  <c r="S25" i="8"/>
  <c r="T23" i="7"/>
  <c r="U23" s="1"/>
  <c r="T10"/>
  <c r="U24" i="9"/>
  <c r="S24" i="8"/>
  <c r="T24" s="1"/>
  <c r="G7" i="3"/>
  <c r="I7" s="1"/>
  <c r="J7" s="1"/>
  <c r="K7" s="1"/>
  <c r="M7" s="1"/>
  <c r="N7" s="1"/>
  <c r="O7" s="1"/>
  <c r="Q7" s="1"/>
  <c r="H23"/>
  <c r="I23"/>
  <c r="J23" s="1"/>
  <c r="K23" s="1"/>
  <c r="T24" i="12"/>
  <c r="S16" i="13"/>
  <c r="T23" i="14"/>
  <c r="S6" i="10"/>
  <c r="S14" s="1"/>
  <c r="S18" i="8"/>
  <c r="O18"/>
  <c r="K18"/>
  <c r="G18"/>
  <c r="T23" i="6"/>
  <c r="T25" i="10"/>
  <c r="T6" i="13"/>
  <c r="T14" s="1"/>
  <c r="U7" i="1"/>
  <c r="U6" s="1"/>
  <c r="U13" s="1"/>
  <c r="S6" i="8"/>
  <c r="S14" s="1"/>
  <c r="T15" i="14"/>
  <c r="T30" s="1"/>
  <c r="Q6" i="10"/>
  <c r="Q14" s="1"/>
  <c r="U23" i="1"/>
  <c r="U25" i="5"/>
  <c r="T25" i="13"/>
  <c r="T6" i="14"/>
  <c r="T13" s="1"/>
  <c r="T6" i="10"/>
  <c r="T14" s="1"/>
  <c r="T24" i="3"/>
  <c r="T23" i="2"/>
  <c r="T18" i="8" l="1"/>
  <c r="L23" i="3"/>
  <c r="M23"/>
  <c r="N23" s="1"/>
  <c r="O23" s="1"/>
  <c r="R7"/>
  <c r="Q6"/>
  <c r="Q14" s="1"/>
  <c r="P29" i="14"/>
  <c r="P27"/>
  <c r="P26"/>
  <c r="P25"/>
  <c r="P24"/>
  <c r="O23"/>
  <c r="O15" s="1"/>
  <c r="N23"/>
  <c r="N15" s="1"/>
  <c r="M23"/>
  <c r="P22"/>
  <c r="P21"/>
  <c r="P20"/>
  <c r="P19"/>
  <c r="P18"/>
  <c r="P17"/>
  <c r="P16"/>
  <c r="P10"/>
  <c r="P9"/>
  <c r="P8"/>
  <c r="P7"/>
  <c r="O6"/>
  <c r="O13" s="1"/>
  <c r="N6"/>
  <c r="N13" s="1"/>
  <c r="M6"/>
  <c r="M13" s="1"/>
  <c r="P30" i="13"/>
  <c r="P29"/>
  <c r="P28"/>
  <c r="P27"/>
  <c r="P26"/>
  <c r="O25"/>
  <c r="O16" s="1"/>
  <c r="M25"/>
  <c r="M16" s="1"/>
  <c r="P23"/>
  <c r="P22"/>
  <c r="P21"/>
  <c r="P20"/>
  <c r="P19"/>
  <c r="P18"/>
  <c r="P10"/>
  <c r="P9"/>
  <c r="P8"/>
  <c r="P7"/>
  <c r="O6"/>
  <c r="O14" s="1"/>
  <c r="N6"/>
  <c r="N14" s="1"/>
  <c r="M6"/>
  <c r="M14" s="1"/>
  <c r="P31" i="12"/>
  <c r="P30"/>
  <c r="P29"/>
  <c r="P28"/>
  <c r="P27"/>
  <c r="O24"/>
  <c r="N24"/>
  <c r="M24"/>
  <c r="P19"/>
  <c r="P18"/>
  <c r="P16"/>
  <c r="P9"/>
  <c r="P8"/>
  <c r="O10" i="10"/>
  <c r="N10"/>
  <c r="N6" s="1"/>
  <c r="N14" s="1"/>
  <c r="M10"/>
  <c r="P28"/>
  <c r="P27"/>
  <c r="P26"/>
  <c r="O25"/>
  <c r="N25"/>
  <c r="M25"/>
  <c r="P22"/>
  <c r="P21"/>
  <c r="P20"/>
  <c r="P19"/>
  <c r="P18"/>
  <c r="P17"/>
  <c r="P9"/>
  <c r="P8"/>
  <c r="P7"/>
  <c r="Q31" i="9"/>
  <c r="Q30"/>
  <c r="Q29"/>
  <c r="Q28"/>
  <c r="Q27"/>
  <c r="Q26"/>
  <c r="Q25"/>
  <c r="P24"/>
  <c r="O24"/>
  <c r="N24"/>
  <c r="Q19"/>
  <c r="Q18"/>
  <c r="Q9"/>
  <c r="N21" i="8"/>
  <c r="P21" s="1"/>
  <c r="P16" s="1"/>
  <c r="O30"/>
  <c r="O29"/>
  <c r="O28"/>
  <c r="O27"/>
  <c r="O26"/>
  <c r="N25"/>
  <c r="N16" s="1"/>
  <c r="M25"/>
  <c r="L25"/>
  <c r="L16" s="1"/>
  <c r="O23"/>
  <c r="O22"/>
  <c r="O21"/>
  <c r="O17"/>
  <c r="O10"/>
  <c r="O9"/>
  <c r="O8"/>
  <c r="O7"/>
  <c r="N6"/>
  <c r="N14" s="1"/>
  <c r="M6"/>
  <c r="M14" s="1"/>
  <c r="L6"/>
  <c r="L14" s="1"/>
  <c r="O22" i="7"/>
  <c r="N22"/>
  <c r="P22" s="1"/>
  <c r="M22"/>
  <c r="O21"/>
  <c r="N21"/>
  <c r="M21"/>
  <c r="P21" s="1"/>
  <c r="N20"/>
  <c r="O20" s="1"/>
  <c r="Q20" s="1"/>
  <c r="M20"/>
  <c r="N17"/>
  <c r="O17" s="1"/>
  <c r="Q17" s="1"/>
  <c r="M17"/>
  <c r="P17" s="1"/>
  <c r="O10"/>
  <c r="P10" s="1"/>
  <c r="N10"/>
  <c r="M10"/>
  <c r="O7"/>
  <c r="N7"/>
  <c r="M7"/>
  <c r="P31"/>
  <c r="P30"/>
  <c r="P29"/>
  <c r="P28"/>
  <c r="P27"/>
  <c r="P26"/>
  <c r="P25"/>
  <c r="O24"/>
  <c r="N24"/>
  <c r="M24"/>
  <c r="P19"/>
  <c r="P18"/>
  <c r="P16"/>
  <c r="P8"/>
  <c r="O13" i="6"/>
  <c r="P29"/>
  <c r="P28"/>
  <c r="P27"/>
  <c r="P26"/>
  <c r="P24"/>
  <c r="O23"/>
  <c r="N23"/>
  <c r="M23"/>
  <c r="P21"/>
  <c r="P20"/>
  <c r="P19"/>
  <c r="P18"/>
  <c r="P17"/>
  <c r="P15"/>
  <c r="P10"/>
  <c r="P9"/>
  <c r="P8"/>
  <c r="P7"/>
  <c r="N13"/>
  <c r="M13"/>
  <c r="Q32" i="5"/>
  <c r="Q31"/>
  <c r="Q30"/>
  <c r="Q29"/>
  <c r="Q28"/>
  <c r="Q27"/>
  <c r="Q26"/>
  <c r="P25"/>
  <c r="O25"/>
  <c r="N25"/>
  <c r="Q20"/>
  <c r="Q19"/>
  <c r="Q17"/>
  <c r="Q9"/>
  <c r="Q8"/>
  <c r="Q7"/>
  <c r="P30" i="4"/>
  <c r="P29"/>
  <c r="P28"/>
  <c r="P27"/>
  <c r="P26"/>
  <c r="O25"/>
  <c r="N25"/>
  <c r="M25"/>
  <c r="P20"/>
  <c r="P19"/>
  <c r="P17"/>
  <c r="P9"/>
  <c r="P8"/>
  <c r="P22" i="3"/>
  <c r="P20"/>
  <c r="P18"/>
  <c r="P8"/>
  <c r="O6"/>
  <c r="O14" s="1"/>
  <c r="M6"/>
  <c r="M14" s="1"/>
  <c r="P30"/>
  <c r="P29"/>
  <c r="P28"/>
  <c r="P27"/>
  <c r="P26"/>
  <c r="P25"/>
  <c r="O24"/>
  <c r="N24"/>
  <c r="M24"/>
  <c r="P21"/>
  <c r="P19"/>
  <c r="P17"/>
  <c r="P10"/>
  <c r="P9"/>
  <c r="P7"/>
  <c r="N6"/>
  <c r="N14" s="1"/>
  <c r="N21" i="2"/>
  <c r="O21" s="1"/>
  <c r="Q21" s="1"/>
  <c r="M21"/>
  <c r="O20"/>
  <c r="N20"/>
  <c r="M20"/>
  <c r="P20" s="1"/>
  <c r="N19"/>
  <c r="O19" s="1"/>
  <c r="Q19" s="1"/>
  <c r="N16"/>
  <c r="O16" s="1"/>
  <c r="Q16" s="1"/>
  <c r="M16"/>
  <c r="P33"/>
  <c r="P32"/>
  <c r="P31"/>
  <c r="P30"/>
  <c r="P29"/>
  <c r="P28"/>
  <c r="P27"/>
  <c r="P26"/>
  <c r="P25"/>
  <c r="P24"/>
  <c r="O23"/>
  <c r="N23"/>
  <c r="M23"/>
  <c r="P19"/>
  <c r="P18"/>
  <c r="P17"/>
  <c r="P15"/>
  <c r="P11"/>
  <c r="P9"/>
  <c r="P8"/>
  <c r="Q29" i="1"/>
  <c r="Q28"/>
  <c r="Q27"/>
  <c r="Q26"/>
  <c r="Q25"/>
  <c r="Q24"/>
  <c r="P23"/>
  <c r="O23"/>
  <c r="N23"/>
  <c r="Q20"/>
  <c r="Q19"/>
  <c r="Q18"/>
  <c r="Q17"/>
  <c r="Q16"/>
  <c r="Q15"/>
  <c r="Q10"/>
  <c r="Q9"/>
  <c r="Q8"/>
  <c r="Q7"/>
  <c r="P13"/>
  <c r="O13"/>
  <c r="N13"/>
  <c r="L29" i="14"/>
  <c r="L27"/>
  <c r="L26"/>
  <c r="L25"/>
  <c r="L24"/>
  <c r="K23"/>
  <c r="J23"/>
  <c r="H23"/>
  <c r="G24"/>
  <c r="G25"/>
  <c r="G26"/>
  <c r="U26" s="1"/>
  <c r="G27"/>
  <c r="U27" s="1"/>
  <c r="G29"/>
  <c r="H22"/>
  <c r="H21"/>
  <c r="L21" s="1"/>
  <c r="H20"/>
  <c r="L20" s="1"/>
  <c r="H17"/>
  <c r="H15" s="1"/>
  <c r="H10"/>
  <c r="H7"/>
  <c r="K25" i="13"/>
  <c r="K16" s="1"/>
  <c r="J25"/>
  <c r="I25"/>
  <c r="H26"/>
  <c r="U26" s="1"/>
  <c r="H27"/>
  <c r="U27" s="1"/>
  <c r="H28"/>
  <c r="H29"/>
  <c r="H30"/>
  <c r="U30" s="1"/>
  <c r="L22"/>
  <c r="L21"/>
  <c r="K24" i="12"/>
  <c r="J24"/>
  <c r="I24"/>
  <c r="I15" s="1"/>
  <c r="J15" s="1"/>
  <c r="K15" s="1"/>
  <c r="H25"/>
  <c r="H26"/>
  <c r="H27"/>
  <c r="U27" s="1"/>
  <c r="H28"/>
  <c r="U28" s="1"/>
  <c r="H29"/>
  <c r="H30"/>
  <c r="H31"/>
  <c r="U31" s="1"/>
  <c r="K21"/>
  <c r="M21" s="1"/>
  <c r="N21" s="1"/>
  <c r="O21" s="1"/>
  <c r="Q21" s="1"/>
  <c r="K20"/>
  <c r="M20" s="1"/>
  <c r="N20" s="1"/>
  <c r="O20" s="1"/>
  <c r="Q20" s="1"/>
  <c r="L20"/>
  <c r="L9"/>
  <c r="J7"/>
  <c r="K7" s="1"/>
  <c r="M7" s="1"/>
  <c r="N7" s="1"/>
  <c r="O7" s="1"/>
  <c r="Q7" s="1"/>
  <c r="K25" i="10"/>
  <c r="J25"/>
  <c r="I25"/>
  <c r="H26"/>
  <c r="U26" s="1"/>
  <c r="H27"/>
  <c r="U27" s="1"/>
  <c r="H28"/>
  <c r="L28"/>
  <c r="I24"/>
  <c r="L22"/>
  <c r="L21"/>
  <c r="I10"/>
  <c r="L31" i="9"/>
  <c r="K24"/>
  <c r="J24"/>
  <c r="I24"/>
  <c r="H25"/>
  <c r="V25" s="1"/>
  <c r="H26"/>
  <c r="V26" s="1"/>
  <c r="H27"/>
  <c r="V27" s="1"/>
  <c r="H28"/>
  <c r="V28" s="1"/>
  <c r="H29"/>
  <c r="H30"/>
  <c r="H31"/>
  <c r="K21"/>
  <c r="N21" s="1"/>
  <c r="O21" s="1"/>
  <c r="P21" s="1"/>
  <c r="R21" s="1"/>
  <c r="K20"/>
  <c r="N20" s="1"/>
  <c r="O20" s="1"/>
  <c r="P20" s="1"/>
  <c r="L9"/>
  <c r="L18"/>
  <c r="L21"/>
  <c r="L20"/>
  <c r="J25" i="8"/>
  <c r="I25"/>
  <c r="H25"/>
  <c r="K25" s="1"/>
  <c r="G26"/>
  <c r="G27"/>
  <c r="G28"/>
  <c r="G29"/>
  <c r="G30"/>
  <c r="K30"/>
  <c r="K29"/>
  <c r="K28"/>
  <c r="K27"/>
  <c r="K26"/>
  <c r="K22"/>
  <c r="L31" i="7"/>
  <c r="L30"/>
  <c r="L29"/>
  <c r="L28"/>
  <c r="L27"/>
  <c r="L26"/>
  <c r="L25"/>
  <c r="K24"/>
  <c r="I24"/>
  <c r="H24"/>
  <c r="G25"/>
  <c r="G26"/>
  <c r="U26" s="1"/>
  <c r="G27"/>
  <c r="U27" s="1"/>
  <c r="G28"/>
  <c r="G29"/>
  <c r="G30"/>
  <c r="G31"/>
  <c r="K21"/>
  <c r="K20"/>
  <c r="I21"/>
  <c r="I20"/>
  <c r="H17"/>
  <c r="H22"/>
  <c r="H21"/>
  <c r="H20"/>
  <c r="L20" s="1"/>
  <c r="H10"/>
  <c r="O6" l="1"/>
  <c r="O14" s="1"/>
  <c r="N6"/>
  <c r="N14" s="1"/>
  <c r="M6"/>
  <c r="M14" s="1"/>
  <c r="P20"/>
  <c r="L21"/>
  <c r="L21" i="12"/>
  <c r="U29"/>
  <c r="U30"/>
  <c r="P10" i="10"/>
  <c r="P6" s="1"/>
  <c r="P14" s="1"/>
  <c r="V29" i="9"/>
  <c r="U29" i="14"/>
  <c r="Q25" i="5"/>
  <c r="P21" i="2"/>
  <c r="P16"/>
  <c r="U31" i="7"/>
  <c r="U25"/>
  <c r="U25" i="14"/>
  <c r="Q24" i="9"/>
  <c r="L24"/>
  <c r="P23" i="14"/>
  <c r="U28" i="7"/>
  <c r="L23" i="14"/>
  <c r="P25" i="4"/>
  <c r="M15" i="14"/>
  <c r="P15" s="1"/>
  <c r="P30" s="1"/>
  <c r="U29" i="7"/>
  <c r="L24" i="12"/>
  <c r="U24" i="14"/>
  <c r="S7" i="3"/>
  <c r="R6"/>
  <c r="R14" s="1"/>
  <c r="P23"/>
  <c r="Q23"/>
  <c r="R19" i="2"/>
  <c r="S19" s="1"/>
  <c r="R21"/>
  <c r="S21" s="1"/>
  <c r="R21" i="12"/>
  <c r="S21" s="1"/>
  <c r="P21"/>
  <c r="R20"/>
  <c r="S20" s="1"/>
  <c r="P20"/>
  <c r="R7"/>
  <c r="P7"/>
  <c r="R20" i="7"/>
  <c r="S20" s="1"/>
  <c r="R17"/>
  <c r="Q15"/>
  <c r="R16" i="2"/>
  <c r="Q14"/>
  <c r="Q21" i="8"/>
  <c r="R20" i="9"/>
  <c r="S21"/>
  <c r="T21" s="1"/>
  <c r="Q20"/>
  <c r="Q21"/>
  <c r="P25" i="12"/>
  <c r="U25" s="1"/>
  <c r="P25" i="13"/>
  <c r="L25" i="10"/>
  <c r="Q6" i="1"/>
  <c r="Q13" s="1"/>
  <c r="T30" i="8"/>
  <c r="T26"/>
  <c r="V31" i="9"/>
  <c r="U28" i="10"/>
  <c r="T28" i="8"/>
  <c r="T29"/>
  <c r="O6" i="10"/>
  <c r="O14" s="1"/>
  <c r="U28" i="13"/>
  <c r="U29"/>
  <c r="U30" i="7"/>
  <c r="P23" i="6"/>
  <c r="P6" i="14"/>
  <c r="V30" i="9"/>
  <c r="T27" i="8"/>
  <c r="H6" i="14"/>
  <c r="L25" i="13"/>
  <c r="P24" i="12"/>
  <c r="P25" i="10"/>
  <c r="Q23" i="1"/>
  <c r="P26" i="12"/>
  <c r="U26" s="1"/>
  <c r="I16" i="13"/>
  <c r="I6" i="10"/>
  <c r="I16"/>
  <c r="I15" i="9"/>
  <c r="P7" i="7"/>
  <c r="O15"/>
  <c r="L24"/>
  <c r="M15"/>
  <c r="I14" i="12"/>
  <c r="M6" i="10"/>
  <c r="M14" s="1"/>
  <c r="I6" i="9"/>
  <c r="M16" i="8"/>
  <c r="O16" s="1"/>
  <c r="O31" s="1"/>
  <c r="O25"/>
  <c r="H6"/>
  <c r="O15" i="3"/>
  <c r="N15"/>
  <c r="M15"/>
  <c r="M14" i="2"/>
  <c r="O14"/>
  <c r="N14"/>
  <c r="I6" i="13"/>
  <c r="H16" i="8"/>
  <c r="K21"/>
  <c r="P6" i="7"/>
  <c r="P14" s="1"/>
  <c r="N15"/>
  <c r="P16" i="3"/>
  <c r="P6" i="6"/>
  <c r="P13" s="1"/>
  <c r="P24" i="7"/>
  <c r="P24" i="3"/>
  <c r="P23" i="2"/>
  <c r="P13" i="14"/>
  <c r="P6" i="13"/>
  <c r="P14" s="1"/>
  <c r="O6" i="8"/>
  <c r="O14" s="1"/>
  <c r="P6" i="3"/>
  <c r="P14" s="1"/>
  <c r="H15" i="7"/>
  <c r="H7"/>
  <c r="H6" s="1"/>
  <c r="K23" i="6"/>
  <c r="I23"/>
  <c r="H24"/>
  <c r="U24" s="1"/>
  <c r="H26"/>
  <c r="U26" s="1"/>
  <c r="H27"/>
  <c r="U27" s="1"/>
  <c r="H28"/>
  <c r="U28" s="1"/>
  <c r="H29"/>
  <c r="U29" s="1"/>
  <c r="L20"/>
  <c r="L19"/>
  <c r="I16"/>
  <c r="J16" s="1"/>
  <c r="H26" i="5"/>
  <c r="V26" s="1"/>
  <c r="H27"/>
  <c r="V27" s="1"/>
  <c r="H28"/>
  <c r="V28" s="1"/>
  <c r="H29"/>
  <c r="V29" s="1"/>
  <c r="H30"/>
  <c r="V30" s="1"/>
  <c r="H31"/>
  <c r="V31" s="1"/>
  <c r="H32"/>
  <c r="V32" s="1"/>
  <c r="K25"/>
  <c r="J25"/>
  <c r="I25"/>
  <c r="K22"/>
  <c r="N22" s="1"/>
  <c r="J23"/>
  <c r="K23" s="1"/>
  <c r="N23" s="1"/>
  <c r="J18"/>
  <c r="K18" s="1"/>
  <c r="N18" s="1"/>
  <c r="L30" i="4"/>
  <c r="K25"/>
  <c r="J25"/>
  <c r="I25"/>
  <c r="H26"/>
  <c r="U26" s="1"/>
  <c r="H27"/>
  <c r="U27" s="1"/>
  <c r="H28"/>
  <c r="U28" s="1"/>
  <c r="H29"/>
  <c r="U29" s="1"/>
  <c r="H30"/>
  <c r="U30" s="1"/>
  <c r="M22"/>
  <c r="L22"/>
  <c r="K18"/>
  <c r="M18" s="1"/>
  <c r="J7"/>
  <c r="K7" s="1"/>
  <c r="M7" s="1"/>
  <c r="K24" i="3"/>
  <c r="J24"/>
  <c r="I24"/>
  <c r="H25"/>
  <c r="U25" s="1"/>
  <c r="H26"/>
  <c r="U26" s="1"/>
  <c r="H27"/>
  <c r="U27" s="1"/>
  <c r="H28"/>
  <c r="U28" s="1"/>
  <c r="H29"/>
  <c r="U29" s="1"/>
  <c r="H30"/>
  <c r="U30" s="1"/>
  <c r="L21"/>
  <c r="L20"/>
  <c r="L18"/>
  <c r="L9"/>
  <c r="L7"/>
  <c r="L33" i="2"/>
  <c r="U33" s="1"/>
  <c r="L32"/>
  <c r="L31"/>
  <c r="L30"/>
  <c r="L29"/>
  <c r="L28"/>
  <c r="L27"/>
  <c r="L26"/>
  <c r="L25"/>
  <c r="L24"/>
  <c r="G24"/>
  <c r="G25"/>
  <c r="G26"/>
  <c r="U26" s="1"/>
  <c r="G27"/>
  <c r="U27" s="1"/>
  <c r="G28"/>
  <c r="G29"/>
  <c r="G30"/>
  <c r="G31"/>
  <c r="U31" s="1"/>
  <c r="G32"/>
  <c r="K20"/>
  <c r="K19"/>
  <c r="J20"/>
  <c r="J19"/>
  <c r="K23"/>
  <c r="J23"/>
  <c r="I23"/>
  <c r="I21"/>
  <c r="I20"/>
  <c r="I19"/>
  <c r="L19" s="1"/>
  <c r="I16"/>
  <c r="V24" i="1"/>
  <c r="V25"/>
  <c r="V26"/>
  <c r="V27"/>
  <c r="V28"/>
  <c r="V29"/>
  <c r="K23"/>
  <c r="J23"/>
  <c r="I23"/>
  <c r="T19" i="2" l="1"/>
  <c r="U30"/>
  <c r="L24" i="3"/>
  <c r="T21" i="2"/>
  <c r="L25" i="4"/>
  <c r="U21" i="9"/>
  <c r="T20" i="7"/>
  <c r="T21" i="12"/>
  <c r="U32" i="2"/>
  <c r="U24"/>
  <c r="L20"/>
  <c r="U25"/>
  <c r="L22" i="5"/>
  <c r="T20" i="12"/>
  <c r="J14" i="6"/>
  <c r="K16"/>
  <c r="R23" i="3"/>
  <c r="Q15"/>
  <c r="S6"/>
  <c r="S14" s="1"/>
  <c r="T7"/>
  <c r="T6" s="1"/>
  <c r="T14" s="1"/>
  <c r="Q10" i="2"/>
  <c r="P10"/>
  <c r="S7" i="12"/>
  <c r="N7" i="4"/>
  <c r="N18"/>
  <c r="J21"/>
  <c r="K21" s="1"/>
  <c r="M21" s="1"/>
  <c r="N22"/>
  <c r="O22" s="1"/>
  <c r="Q22" s="1"/>
  <c r="S17" i="7"/>
  <c r="R15"/>
  <c r="S16" i="2"/>
  <c r="R14"/>
  <c r="R21" i="8"/>
  <c r="Q16"/>
  <c r="O18" i="5"/>
  <c r="J21"/>
  <c r="K21" s="1"/>
  <c r="N21" s="1"/>
  <c r="N16" s="1"/>
  <c r="O23"/>
  <c r="P23" s="1"/>
  <c r="R23" s="1"/>
  <c r="O22"/>
  <c r="P22" s="1"/>
  <c r="R22" s="1"/>
  <c r="S20" i="9"/>
  <c r="L23" i="1"/>
  <c r="U28" i="2"/>
  <c r="L25" i="5"/>
  <c r="L23" i="6"/>
  <c r="L23" i="2"/>
  <c r="U29"/>
  <c r="I6" i="3"/>
  <c r="I14" i="6"/>
  <c r="I16" i="4"/>
  <c r="P15" i="7"/>
  <c r="P32" s="1"/>
  <c r="P15" i="3"/>
  <c r="P31" s="1"/>
  <c r="P14" i="2"/>
  <c r="P34" s="1"/>
  <c r="I16" i="5"/>
  <c r="I14" i="2"/>
  <c r="I15" i="3"/>
  <c r="G19" i="14"/>
  <c r="E23"/>
  <c r="F23"/>
  <c r="D23"/>
  <c r="D17"/>
  <c r="E17"/>
  <c r="F17"/>
  <c r="D18"/>
  <c r="D20"/>
  <c r="E20"/>
  <c r="F20"/>
  <c r="D21"/>
  <c r="E21"/>
  <c r="F21"/>
  <c r="D22"/>
  <c r="E22"/>
  <c r="F22"/>
  <c r="D16"/>
  <c r="D8"/>
  <c r="D9"/>
  <c r="E10"/>
  <c r="F10"/>
  <c r="F7"/>
  <c r="E7"/>
  <c r="D7"/>
  <c r="H20" i="13"/>
  <c r="U20" s="1"/>
  <c r="F25"/>
  <c r="G25"/>
  <c r="G16" s="1"/>
  <c r="D25"/>
  <c r="D23"/>
  <c r="D22"/>
  <c r="H22" s="1"/>
  <c r="U22" s="1"/>
  <c r="D21"/>
  <c r="H19"/>
  <c r="U19" s="1"/>
  <c r="D18"/>
  <c r="D17"/>
  <c r="H17" s="1"/>
  <c r="U11"/>
  <c r="D8"/>
  <c r="H9"/>
  <c r="U9" s="1"/>
  <c r="D10"/>
  <c r="D7"/>
  <c r="P22" i="4" l="1"/>
  <c r="Q23" i="5"/>
  <c r="Q22"/>
  <c r="K14" i="6"/>
  <c r="M16"/>
  <c r="S23" i="3"/>
  <c r="R15"/>
  <c r="R10" i="2"/>
  <c r="T7" i="12"/>
  <c r="R22" i="4"/>
  <c r="S22" s="1"/>
  <c r="N21"/>
  <c r="O21" s="1"/>
  <c r="Q21" s="1"/>
  <c r="O18"/>
  <c r="O7"/>
  <c r="L21"/>
  <c r="S15" i="7"/>
  <c r="T15" s="1"/>
  <c r="T32" s="1"/>
  <c r="T17"/>
  <c r="S14" i="2"/>
  <c r="T14" s="1"/>
  <c r="T34" s="1"/>
  <c r="T16"/>
  <c r="R16" i="8"/>
  <c r="S16" s="1"/>
  <c r="S31" s="1"/>
  <c r="S21"/>
  <c r="S22" i="5"/>
  <c r="T22" s="1"/>
  <c r="S23"/>
  <c r="T23" s="1"/>
  <c r="O21"/>
  <c r="P21" s="1"/>
  <c r="R21" s="1"/>
  <c r="P18"/>
  <c r="L21"/>
  <c r="T20" i="9"/>
  <c r="E15" i="14"/>
  <c r="G21"/>
  <c r="U21" s="1"/>
  <c r="G18"/>
  <c r="F15"/>
  <c r="G22"/>
  <c r="G20"/>
  <c r="U20" s="1"/>
  <c r="G17"/>
  <c r="F16" i="13"/>
  <c r="G23" i="14"/>
  <c r="U23" s="1"/>
  <c r="D15"/>
  <c r="H18" i="13"/>
  <c r="H21"/>
  <c r="U21" s="1"/>
  <c r="H23"/>
  <c r="D16"/>
  <c r="H25"/>
  <c r="U25" s="1"/>
  <c r="G10" i="14"/>
  <c r="G9"/>
  <c r="G8"/>
  <c r="H10" i="13"/>
  <c r="H8"/>
  <c r="H19" i="12"/>
  <c r="U19" s="1"/>
  <c r="F24"/>
  <c r="F15" s="1"/>
  <c r="G24"/>
  <c r="G15" s="1"/>
  <c r="D24"/>
  <c r="D22"/>
  <c r="D21"/>
  <c r="D20"/>
  <c r="D17"/>
  <c r="D16"/>
  <c r="U11"/>
  <c r="D8"/>
  <c r="D10"/>
  <c r="D7"/>
  <c r="H20" i="10"/>
  <c r="U20" s="1"/>
  <c r="D18"/>
  <c r="D21"/>
  <c r="D22"/>
  <c r="D24"/>
  <c r="F24"/>
  <c r="F16" s="1"/>
  <c r="G24"/>
  <c r="G16" s="1"/>
  <c r="F25"/>
  <c r="G25"/>
  <c r="D25"/>
  <c r="D17"/>
  <c r="D8"/>
  <c r="D10"/>
  <c r="F10"/>
  <c r="G10"/>
  <c r="D7"/>
  <c r="F24" i="9"/>
  <c r="G24"/>
  <c r="D24"/>
  <c r="H19"/>
  <c r="V19" s="1"/>
  <c r="D17"/>
  <c r="D20"/>
  <c r="D21"/>
  <c r="D22"/>
  <c r="D16"/>
  <c r="V11"/>
  <c r="D8"/>
  <c r="D10"/>
  <c r="D7"/>
  <c r="E25" i="8"/>
  <c r="F25"/>
  <c r="D25"/>
  <c r="D16" s="1"/>
  <c r="G21"/>
  <c r="T21" s="1"/>
  <c r="G9"/>
  <c r="E24" i="7"/>
  <c r="F24"/>
  <c r="D24"/>
  <c r="F22"/>
  <c r="E22"/>
  <c r="D22"/>
  <c r="F21"/>
  <c r="E21"/>
  <c r="D21"/>
  <c r="F20"/>
  <c r="E20"/>
  <c r="D20"/>
  <c r="F17"/>
  <c r="E17"/>
  <c r="D16"/>
  <c r="G18"/>
  <c r="G19"/>
  <c r="G9"/>
  <c r="D10"/>
  <c r="E10"/>
  <c r="F10"/>
  <c r="F7"/>
  <c r="E7"/>
  <c r="D7"/>
  <c r="D6" s="1"/>
  <c r="G17" l="1"/>
  <c r="G20"/>
  <c r="U20" s="1"/>
  <c r="G22"/>
  <c r="G21"/>
  <c r="U21" s="1"/>
  <c r="U23" i="5"/>
  <c r="T22" i="4"/>
  <c r="Q21" i="5"/>
  <c r="E15" i="7"/>
  <c r="D15"/>
  <c r="D15" i="12"/>
  <c r="P21" i="4"/>
  <c r="D16" i="10"/>
  <c r="O16" i="5"/>
  <c r="Q16" s="1"/>
  <c r="Q33" s="1"/>
  <c r="F6" i="7"/>
  <c r="U22" i="5"/>
  <c r="E6" i="7"/>
  <c r="F15"/>
  <c r="N16" i="6"/>
  <c r="M14"/>
  <c r="T23" i="3"/>
  <c r="U23" s="1"/>
  <c r="S15"/>
  <c r="T15" s="1"/>
  <c r="T31" s="1"/>
  <c r="S10" i="2"/>
  <c r="Q7" i="4"/>
  <c r="P7"/>
  <c r="Q18"/>
  <c r="P18"/>
  <c r="R21"/>
  <c r="S21" s="1"/>
  <c r="R18" i="5"/>
  <c r="P16"/>
  <c r="Q18"/>
  <c r="S21"/>
  <c r="T21" s="1"/>
  <c r="U20" i="9"/>
  <c r="H17"/>
  <c r="H17" i="12"/>
  <c r="H20"/>
  <c r="U20" s="1"/>
  <c r="H22"/>
  <c r="D15" i="9"/>
  <c r="G23" i="8"/>
  <c r="F16"/>
  <c r="G25"/>
  <c r="T25" s="1"/>
  <c r="H25" i="10"/>
  <c r="U25" s="1"/>
  <c r="H18" i="12"/>
  <c r="U18" s="1"/>
  <c r="H21"/>
  <c r="U21" s="1"/>
  <c r="H24" i="10"/>
  <c r="H21"/>
  <c r="U21" s="1"/>
  <c r="H18"/>
  <c r="H22"/>
  <c r="U22" s="1"/>
  <c r="H19"/>
  <c r="U19" s="1"/>
  <c r="H21" i="9"/>
  <c r="V21" s="1"/>
  <c r="H18"/>
  <c r="V18" s="1"/>
  <c r="H22"/>
  <c r="H20"/>
  <c r="V20" s="1"/>
  <c r="E16" i="8"/>
  <c r="G22"/>
  <c r="T22" s="1"/>
  <c r="H8" i="12"/>
  <c r="H10"/>
  <c r="H9"/>
  <c r="U9" s="1"/>
  <c r="H10" i="10"/>
  <c r="H9"/>
  <c r="U9" s="1"/>
  <c r="H8"/>
  <c r="H10" i="9"/>
  <c r="H9"/>
  <c r="V9" s="1"/>
  <c r="F15"/>
  <c r="H8"/>
  <c r="G15"/>
  <c r="G10" i="8"/>
  <c r="G8"/>
  <c r="G10" i="7"/>
  <c r="G8"/>
  <c r="H24" i="12"/>
  <c r="U24" s="1"/>
  <c r="G24" i="7"/>
  <c r="U24" s="1"/>
  <c r="H24" i="9"/>
  <c r="V24" s="1"/>
  <c r="E23" i="6"/>
  <c r="G23"/>
  <c r="G14" s="1"/>
  <c r="D23"/>
  <c r="D14" s="1"/>
  <c r="E21"/>
  <c r="E20"/>
  <c r="H20" s="1"/>
  <c r="U20" s="1"/>
  <c r="E19"/>
  <c r="H18"/>
  <c r="U18" s="1"/>
  <c r="H16"/>
  <c r="U11"/>
  <c r="E10"/>
  <c r="E7"/>
  <c r="F25" i="5"/>
  <c r="F16" s="1"/>
  <c r="G25"/>
  <c r="G16" s="1"/>
  <c r="D25"/>
  <c r="E6" i="6" l="1"/>
  <c r="U21" i="5"/>
  <c r="E14" i="6"/>
  <c r="T21" i="4"/>
  <c r="O16" i="6"/>
  <c r="N14"/>
  <c r="T10" i="2"/>
  <c r="R18" i="4"/>
  <c r="R7"/>
  <c r="S18" i="5"/>
  <c r="R16"/>
  <c r="H17" i="6"/>
  <c r="U17" s="1"/>
  <c r="H19"/>
  <c r="U19" s="1"/>
  <c r="H21"/>
  <c r="H8"/>
  <c r="H10"/>
  <c r="H9"/>
  <c r="U9" s="1"/>
  <c r="H23"/>
  <c r="U23" s="1"/>
  <c r="H20" i="5"/>
  <c r="V20" s="1"/>
  <c r="H25"/>
  <c r="V25" s="1"/>
  <c r="D18"/>
  <c r="H19"/>
  <c r="V19" s="1"/>
  <c r="D21"/>
  <c r="D22"/>
  <c r="D23"/>
  <c r="D16"/>
  <c r="D8"/>
  <c r="H8" s="1"/>
  <c r="H9"/>
  <c r="V9" s="1"/>
  <c r="D10"/>
  <c r="F25" i="4"/>
  <c r="F16" s="1"/>
  <c r="G25"/>
  <c r="D25"/>
  <c r="H20"/>
  <c r="U20" s="1"/>
  <c r="D18"/>
  <c r="D19"/>
  <c r="D21"/>
  <c r="D22"/>
  <c r="D23"/>
  <c r="D17"/>
  <c r="U11"/>
  <c r="D9"/>
  <c r="D10"/>
  <c r="G10" s="1"/>
  <c r="I10" s="1"/>
  <c r="D7"/>
  <c r="F24" i="3"/>
  <c r="G24"/>
  <c r="D24"/>
  <c r="H19"/>
  <c r="U19" s="1"/>
  <c r="D17"/>
  <c r="D18"/>
  <c r="D20"/>
  <c r="D21"/>
  <c r="D22"/>
  <c r="D16"/>
  <c r="U11"/>
  <c r="D8"/>
  <c r="H8" s="1"/>
  <c r="D10"/>
  <c r="D7"/>
  <c r="E23" i="2"/>
  <c r="F23"/>
  <c r="D23"/>
  <c r="G18"/>
  <c r="F21"/>
  <c r="F20"/>
  <c r="F19"/>
  <c r="F16"/>
  <c r="E20"/>
  <c r="E19"/>
  <c r="G19" s="1"/>
  <c r="U19" s="1"/>
  <c r="G17"/>
  <c r="E16"/>
  <c r="D20"/>
  <c r="G15"/>
  <c r="G9"/>
  <c r="D10"/>
  <c r="E10"/>
  <c r="F10"/>
  <c r="D7"/>
  <c r="F23" i="1"/>
  <c r="F14" s="1"/>
  <c r="G23"/>
  <c r="D23"/>
  <c r="D21"/>
  <c r="H16"/>
  <c r="H15"/>
  <c r="H10"/>
  <c r="H7"/>
  <c r="D14" l="1"/>
  <c r="G20" i="2"/>
  <c r="U20" s="1"/>
  <c r="Q16" i="6"/>
  <c r="O14"/>
  <c r="P14" s="1"/>
  <c r="P30" s="1"/>
  <c r="P16"/>
  <c r="D15" i="3"/>
  <c r="H16"/>
  <c r="D6" i="2"/>
  <c r="G21"/>
  <c r="D14"/>
  <c r="J10" i="4"/>
  <c r="K10" s="1"/>
  <c r="M10" s="1"/>
  <c r="I6"/>
  <c r="S7"/>
  <c r="S18"/>
  <c r="G16" i="2"/>
  <c r="E7"/>
  <c r="F7" s="1"/>
  <c r="I6" s="1"/>
  <c r="T18" i="5"/>
  <c r="S16"/>
  <c r="G21" i="1"/>
  <c r="I21" s="1"/>
  <c r="E14" i="2"/>
  <c r="H19" i="1"/>
  <c r="V19" s="1"/>
  <c r="H20"/>
  <c r="V20" s="1"/>
  <c r="H23"/>
  <c r="V23" s="1"/>
  <c r="F15" i="3"/>
  <c r="R14" i="7"/>
  <c r="D16" i="4"/>
  <c r="G16"/>
  <c r="F14" i="2"/>
  <c r="G15" i="3"/>
  <c r="H25" i="4"/>
  <c r="U25" s="1"/>
  <c r="S14" i="7"/>
  <c r="Q14"/>
  <c r="H23" i="5"/>
  <c r="H21"/>
  <c r="V21" s="1"/>
  <c r="H18"/>
  <c r="H22"/>
  <c r="V22" s="1"/>
  <c r="H22" i="4"/>
  <c r="U22" s="1"/>
  <c r="H19"/>
  <c r="U19" s="1"/>
  <c r="H23"/>
  <c r="H21"/>
  <c r="U21" s="1"/>
  <c r="H18"/>
  <c r="H10" i="5"/>
  <c r="H8" i="4"/>
  <c r="H10"/>
  <c r="H9"/>
  <c r="U9" s="1"/>
  <c r="H10" i="3"/>
  <c r="H9"/>
  <c r="U9" s="1"/>
  <c r="H21"/>
  <c r="U21" s="1"/>
  <c r="H18"/>
  <c r="U18" s="1"/>
  <c r="H22"/>
  <c r="H20"/>
  <c r="U20" s="1"/>
  <c r="H17"/>
  <c r="G10" i="2"/>
  <c r="G8"/>
  <c r="H24" i="3"/>
  <c r="U24" s="1"/>
  <c r="G23" i="2"/>
  <c r="U23" s="1"/>
  <c r="R16" i="6" l="1"/>
  <c r="Q14"/>
  <c r="E6" i="2"/>
  <c r="E13" s="1"/>
  <c r="F6"/>
  <c r="G14" i="1"/>
  <c r="H14" s="1"/>
  <c r="H30" s="1"/>
  <c r="T18" i="4"/>
  <c r="T7"/>
  <c r="N10"/>
  <c r="M6"/>
  <c r="M14" s="1"/>
  <c r="G7" i="2"/>
  <c r="T16" i="5"/>
  <c r="U16" s="1"/>
  <c r="U33" s="1"/>
  <c r="U18"/>
  <c r="J21" i="1"/>
  <c r="I14"/>
  <c r="H21"/>
  <c r="R13" i="6"/>
  <c r="S13"/>
  <c r="T6" i="7"/>
  <c r="T14" s="1"/>
  <c r="K15" i="14"/>
  <c r="J15"/>
  <c r="G16"/>
  <c r="U11"/>
  <c r="K6"/>
  <c r="K13" s="1"/>
  <c r="G7"/>
  <c r="G6" s="1"/>
  <c r="H13"/>
  <c r="F6"/>
  <c r="F13" s="1"/>
  <c r="E6"/>
  <c r="E13" s="1"/>
  <c r="D6"/>
  <c r="D13" s="1"/>
  <c r="L23" i="13"/>
  <c r="U23" s="1"/>
  <c r="L18"/>
  <c r="U18" s="1"/>
  <c r="L10"/>
  <c r="U10" s="1"/>
  <c r="L8"/>
  <c r="U8" s="1"/>
  <c r="K6"/>
  <c r="K14" s="1"/>
  <c r="L7"/>
  <c r="H7"/>
  <c r="I14"/>
  <c r="G6"/>
  <c r="G14" s="1"/>
  <c r="F6"/>
  <c r="F14" s="1"/>
  <c r="D6"/>
  <c r="D14" s="1"/>
  <c r="K17" i="12"/>
  <c r="M17" s="1"/>
  <c r="H16"/>
  <c r="L8"/>
  <c r="U8" s="1"/>
  <c r="L7"/>
  <c r="H7"/>
  <c r="G14"/>
  <c r="F14"/>
  <c r="D6"/>
  <c r="D14" s="1"/>
  <c r="J24" i="10"/>
  <c r="L18"/>
  <c r="U18" s="1"/>
  <c r="H17"/>
  <c r="U11"/>
  <c r="K10"/>
  <c r="J10"/>
  <c r="L8"/>
  <c r="U8" s="1"/>
  <c r="L7"/>
  <c r="H7"/>
  <c r="I14"/>
  <c r="G6"/>
  <c r="G14" s="1"/>
  <c r="F6"/>
  <c r="F14" s="1"/>
  <c r="D6"/>
  <c r="D14" s="1"/>
  <c r="H16" i="9"/>
  <c r="K7"/>
  <c r="H7"/>
  <c r="I13"/>
  <c r="G6"/>
  <c r="G13" s="1"/>
  <c r="F6"/>
  <c r="F13" s="1"/>
  <c r="D6"/>
  <c r="D13" s="1"/>
  <c r="J16" i="8"/>
  <c r="I16"/>
  <c r="G17"/>
  <c r="T11"/>
  <c r="K9"/>
  <c r="T9" s="1"/>
  <c r="K8"/>
  <c r="T8" s="1"/>
  <c r="J6"/>
  <c r="J14" s="1"/>
  <c r="G7"/>
  <c r="H14"/>
  <c r="F14"/>
  <c r="E14"/>
  <c r="D14"/>
  <c r="K22" i="7"/>
  <c r="I22"/>
  <c r="L22" s="1"/>
  <c r="U22" s="1"/>
  <c r="K17"/>
  <c r="K15" s="1"/>
  <c r="I17"/>
  <c r="G16"/>
  <c r="U11"/>
  <c r="K10"/>
  <c r="I10"/>
  <c r="K7"/>
  <c r="I7"/>
  <c r="I6" s="1"/>
  <c r="G7"/>
  <c r="H14"/>
  <c r="F14"/>
  <c r="E14"/>
  <c r="D14"/>
  <c r="L21" i="6"/>
  <c r="U21" s="1"/>
  <c r="L16"/>
  <c r="L15"/>
  <c r="H15"/>
  <c r="K13"/>
  <c r="L10"/>
  <c r="U10" s="1"/>
  <c r="L8"/>
  <c r="U8" s="1"/>
  <c r="H7"/>
  <c r="H6" s="1"/>
  <c r="I13"/>
  <c r="G13"/>
  <c r="E13"/>
  <c r="D13"/>
  <c r="L23" i="5"/>
  <c r="V23" s="1"/>
  <c r="L18"/>
  <c r="V18" s="1"/>
  <c r="K16"/>
  <c r="V11"/>
  <c r="L8"/>
  <c r="V8" s="1"/>
  <c r="L7"/>
  <c r="H7"/>
  <c r="I14"/>
  <c r="H6"/>
  <c r="G6"/>
  <c r="G14" s="1"/>
  <c r="F6"/>
  <c r="F14" s="1"/>
  <c r="D6"/>
  <c r="D14" s="1"/>
  <c r="L18" i="4"/>
  <c r="U18" s="1"/>
  <c r="H17"/>
  <c r="L10"/>
  <c r="L8"/>
  <c r="U8" s="1"/>
  <c r="K6"/>
  <c r="K14" s="1"/>
  <c r="L7"/>
  <c r="H7"/>
  <c r="H6" s="1"/>
  <c r="I14"/>
  <c r="G6"/>
  <c r="G14" s="1"/>
  <c r="F6"/>
  <c r="F14" s="1"/>
  <c r="D6"/>
  <c r="D14" s="1"/>
  <c r="L22" i="3"/>
  <c r="U22" s="1"/>
  <c r="L17"/>
  <c r="U17" s="1"/>
  <c r="K15"/>
  <c r="L10"/>
  <c r="U10" s="1"/>
  <c r="L8"/>
  <c r="U8" s="1"/>
  <c r="K6"/>
  <c r="K14" s="1"/>
  <c r="H7"/>
  <c r="I14"/>
  <c r="H6"/>
  <c r="G6"/>
  <c r="G14" s="1"/>
  <c r="F14"/>
  <c r="D6"/>
  <c r="D14" s="1"/>
  <c r="K21" i="2"/>
  <c r="J21"/>
  <c r="L18"/>
  <c r="U18" s="1"/>
  <c r="K16"/>
  <c r="J16"/>
  <c r="G11"/>
  <c r="I13"/>
  <c r="F13"/>
  <c r="D13"/>
  <c r="V8" i="1"/>
  <c r="V9"/>
  <c r="V10"/>
  <c r="V18"/>
  <c r="V17"/>
  <c r="V16"/>
  <c r="V15"/>
  <c r="V11"/>
  <c r="I13"/>
  <c r="F13"/>
  <c r="L10" i="10" l="1"/>
  <c r="U10" s="1"/>
  <c r="U7" i="13"/>
  <c r="L21" i="2"/>
  <c r="U21" s="1"/>
  <c r="V7" i="5"/>
  <c r="H6" i="13"/>
  <c r="S16" i="6"/>
  <c r="R14"/>
  <c r="K24" i="10"/>
  <c r="J6" i="2"/>
  <c r="L10"/>
  <c r="U10" s="1"/>
  <c r="K6" i="7"/>
  <c r="K14" s="1"/>
  <c r="N17" i="12"/>
  <c r="K23" i="4"/>
  <c r="O10"/>
  <c r="N6"/>
  <c r="N14" s="1"/>
  <c r="K21" i="1"/>
  <c r="J14"/>
  <c r="O7" i="9"/>
  <c r="P7" s="1"/>
  <c r="N10"/>
  <c r="Q16"/>
  <c r="K22"/>
  <c r="N22" s="1"/>
  <c r="K22" i="12"/>
  <c r="L17"/>
  <c r="G6" i="2"/>
  <c r="H6" i="10"/>
  <c r="H14" s="1"/>
  <c r="U7"/>
  <c r="H6" i="9"/>
  <c r="G6" i="7"/>
  <c r="G14" s="1"/>
  <c r="U15" i="6"/>
  <c r="U7" i="4"/>
  <c r="U11" i="2"/>
  <c r="L17" i="14"/>
  <c r="U17" s="1"/>
  <c r="L22"/>
  <c r="U22" s="1"/>
  <c r="H6" i="12"/>
  <c r="H14" s="1"/>
  <c r="U7"/>
  <c r="L10" i="7"/>
  <c r="U10" s="1"/>
  <c r="J6" i="3"/>
  <c r="J14" s="1"/>
  <c r="U7"/>
  <c r="J15"/>
  <c r="L15" s="1"/>
  <c r="L16"/>
  <c r="U16" s="1"/>
  <c r="J16" i="13"/>
  <c r="L16" s="1"/>
  <c r="L17"/>
  <c r="L16" i="12"/>
  <c r="U16" s="1"/>
  <c r="L15"/>
  <c r="L32" s="1"/>
  <c r="J16" i="10"/>
  <c r="L17"/>
  <c r="U17" s="1"/>
  <c r="J15" i="9"/>
  <c r="L16"/>
  <c r="J13" i="6"/>
  <c r="L7"/>
  <c r="U7" s="1"/>
  <c r="J16" i="5"/>
  <c r="L16" s="1"/>
  <c r="L33" s="1"/>
  <c r="L17"/>
  <c r="V17" s="1"/>
  <c r="J16" i="4"/>
  <c r="L17"/>
  <c r="U17" s="1"/>
  <c r="K14" i="2"/>
  <c r="J6" i="9"/>
  <c r="J13" s="1"/>
  <c r="L7"/>
  <c r="T6" i="6"/>
  <c r="T13" s="1"/>
  <c r="K6" i="10"/>
  <c r="K14" s="1"/>
  <c r="J14" i="2"/>
  <c r="L14" i="6"/>
  <c r="I15" i="7"/>
  <c r="L7" i="14"/>
  <c r="U7" s="1"/>
  <c r="J6"/>
  <c r="J13" s="1"/>
  <c r="J6" i="13"/>
  <c r="J14" s="1"/>
  <c r="J6" i="12"/>
  <c r="J14" s="1"/>
  <c r="J6" i="10"/>
  <c r="J14" s="1"/>
  <c r="K6" i="9"/>
  <c r="K13" s="1"/>
  <c r="I6" i="8"/>
  <c r="I14" s="1"/>
  <c r="K23"/>
  <c r="T23" s="1"/>
  <c r="L7" i="7"/>
  <c r="U7" s="1"/>
  <c r="J6" i="5"/>
  <c r="J14" s="1"/>
  <c r="J6" i="4"/>
  <c r="J14" s="1"/>
  <c r="J13" i="2"/>
  <c r="K13" i="1"/>
  <c r="G6" i="8"/>
  <c r="U18" i="7"/>
  <c r="L16" i="2"/>
  <c r="U16" s="1"/>
  <c r="L10" i="14"/>
  <c r="U10" s="1"/>
  <c r="L16" i="7"/>
  <c r="U16" s="1"/>
  <c r="I14"/>
  <c r="H16" i="5"/>
  <c r="H16" i="4"/>
  <c r="G14" i="2"/>
  <c r="H16" i="10"/>
  <c r="H15" i="9"/>
  <c r="G16" i="8"/>
  <c r="G15" i="7"/>
  <c r="H14" i="6"/>
  <c r="H15" i="3"/>
  <c r="U15" s="1"/>
  <c r="L19" i="14"/>
  <c r="U19" s="1"/>
  <c r="L8"/>
  <c r="U8" s="1"/>
  <c r="L9"/>
  <c r="U9" s="1"/>
  <c r="L16"/>
  <c r="U16" s="1"/>
  <c r="L18"/>
  <c r="U18" s="1"/>
  <c r="G15"/>
  <c r="L15"/>
  <c r="L30" s="1"/>
  <c r="G13"/>
  <c r="H16" i="13"/>
  <c r="H31" s="1"/>
  <c r="H14"/>
  <c r="H15" i="12"/>
  <c r="K10" i="8"/>
  <c r="T10" s="1"/>
  <c r="K16"/>
  <c r="K31" s="1"/>
  <c r="H13" i="9"/>
  <c r="K7" i="8"/>
  <c r="T7" s="1"/>
  <c r="G14"/>
  <c r="K17"/>
  <c r="T17" s="1"/>
  <c r="L17" i="7"/>
  <c r="U17" s="1"/>
  <c r="L19"/>
  <c r="U19" s="1"/>
  <c r="L8"/>
  <c r="U8" s="1"/>
  <c r="U9"/>
  <c r="H13" i="6"/>
  <c r="H14" i="5"/>
  <c r="H14" i="4"/>
  <c r="H14" i="3"/>
  <c r="L8" i="2"/>
  <c r="U8" s="1"/>
  <c r="L9"/>
  <c r="U9" s="1"/>
  <c r="L15"/>
  <c r="U15" s="1"/>
  <c r="L17"/>
  <c r="U17" s="1"/>
  <c r="G13"/>
  <c r="G13" i="1"/>
  <c r="D13"/>
  <c r="V7"/>
  <c r="V16" i="9" l="1"/>
  <c r="Q7"/>
  <c r="L13"/>
  <c r="K15"/>
  <c r="L15" s="1"/>
  <c r="L32" s="1"/>
  <c r="S14" i="6"/>
  <c r="T16"/>
  <c r="M24" i="10"/>
  <c r="K16"/>
  <c r="L16" s="1"/>
  <c r="L29" s="1"/>
  <c r="L24"/>
  <c r="M7" i="2"/>
  <c r="K6"/>
  <c r="K13" s="1"/>
  <c r="L7"/>
  <c r="L22" i="12"/>
  <c r="M22"/>
  <c r="M15" s="1"/>
  <c r="O17"/>
  <c r="K6"/>
  <c r="K14" s="1"/>
  <c r="M10"/>
  <c r="Q10" i="4"/>
  <c r="O6"/>
  <c r="O14" s="1"/>
  <c r="P10"/>
  <c r="M23"/>
  <c r="K16"/>
  <c r="L16" s="1"/>
  <c r="L31" s="1"/>
  <c r="L23"/>
  <c r="K6" i="5"/>
  <c r="K14" s="1"/>
  <c r="L10"/>
  <c r="L6" s="1"/>
  <c r="N21" i="1"/>
  <c r="K14"/>
  <c r="L14" s="1"/>
  <c r="L30" s="1"/>
  <c r="L21"/>
  <c r="R7" i="9"/>
  <c r="O22"/>
  <c r="P22" s="1"/>
  <c r="Q17"/>
  <c r="O10"/>
  <c r="P10" s="1"/>
  <c r="R10" s="1"/>
  <c r="Q8"/>
  <c r="L22"/>
  <c r="L17"/>
  <c r="N15"/>
  <c r="L10"/>
  <c r="L8"/>
  <c r="N6"/>
  <c r="N13" s="1"/>
  <c r="L10" i="12"/>
  <c r="N16" i="13"/>
  <c r="J13" i="1"/>
  <c r="L6"/>
  <c r="G30" i="14"/>
  <c r="U15"/>
  <c r="L31" i="13"/>
  <c r="H29" i="10"/>
  <c r="H32" i="9"/>
  <c r="G31" i="8"/>
  <c r="T16"/>
  <c r="G32" i="7"/>
  <c r="H30" i="6"/>
  <c r="H33" i="5"/>
  <c r="V16"/>
  <c r="H31" i="4"/>
  <c r="G34" i="2"/>
  <c r="H32" i="12"/>
  <c r="H31" i="3"/>
  <c r="L14" i="2"/>
  <c r="L34" s="1"/>
  <c r="L6" i="9"/>
  <c r="K6" i="8"/>
  <c r="K14" s="1"/>
  <c r="T14" s="1"/>
  <c r="L6" i="14"/>
  <c r="L6" i="10"/>
  <c r="L14" s="1"/>
  <c r="U14" s="1"/>
  <c r="L30" i="6"/>
  <c r="L15" i="7"/>
  <c r="L32" s="1"/>
  <c r="L6" i="4"/>
  <c r="L6" i="2"/>
  <c r="L31" i="3"/>
  <c r="L6" i="13"/>
  <c r="L6" i="12"/>
  <c r="L14" s="1"/>
  <c r="L6" i="7"/>
  <c r="L6" i="6"/>
  <c r="L6" i="3"/>
  <c r="H6" i="1"/>
  <c r="H13" s="1"/>
  <c r="V8" i="9" l="1"/>
  <c r="Q10"/>
  <c r="Q6" s="1"/>
  <c r="O6"/>
  <c r="O13" s="1"/>
  <c r="U32" i="7"/>
  <c r="O15" i="9"/>
  <c r="Q22"/>
  <c r="T14" i="6"/>
  <c r="U16"/>
  <c r="N24" i="10"/>
  <c r="M16"/>
  <c r="M6" i="2"/>
  <c r="M13" s="1"/>
  <c r="N7"/>
  <c r="N22" i="12"/>
  <c r="N15" s="1"/>
  <c r="Q17"/>
  <c r="P17"/>
  <c r="N10"/>
  <c r="M6"/>
  <c r="M14" s="1"/>
  <c r="N23" i="4"/>
  <c r="M16"/>
  <c r="P6"/>
  <c r="P14" s="1"/>
  <c r="R10"/>
  <c r="Q6"/>
  <c r="Q14" s="1"/>
  <c r="N6" i="5"/>
  <c r="N14" s="1"/>
  <c r="S10" i="9"/>
  <c r="T10" s="1"/>
  <c r="P6"/>
  <c r="P13" s="1"/>
  <c r="R22"/>
  <c r="P15"/>
  <c r="Q15" s="1"/>
  <c r="O21" i="1"/>
  <c r="N14"/>
  <c r="S7" i="9"/>
  <c r="R6"/>
  <c r="R13" s="1"/>
  <c r="U17"/>
  <c r="V17" s="1"/>
  <c r="P16" i="13"/>
  <c r="P17"/>
  <c r="T31" i="8"/>
  <c r="U30" i="14"/>
  <c r="V33" i="5"/>
  <c r="L13" i="14"/>
  <c r="U13" s="1"/>
  <c r="U6"/>
  <c r="L13" i="1"/>
  <c r="V13" s="1"/>
  <c r="V6"/>
  <c r="L14" i="13"/>
  <c r="U14" s="1"/>
  <c r="U6"/>
  <c r="U6" i="10"/>
  <c r="T6" i="8"/>
  <c r="L14" i="7"/>
  <c r="U14" s="1"/>
  <c r="U6"/>
  <c r="U15"/>
  <c r="L13" i="6"/>
  <c r="U13" s="1"/>
  <c r="U6"/>
  <c r="L14" i="5"/>
  <c r="L14" i="4"/>
  <c r="L14" i="3"/>
  <c r="U14" s="1"/>
  <c r="U6"/>
  <c r="L13" i="2"/>
  <c r="U34"/>
  <c r="U14"/>
  <c r="U31" i="3"/>
  <c r="Q13" i="9" l="1"/>
  <c r="U10"/>
  <c r="V10" s="1"/>
  <c r="T30" i="6"/>
  <c r="U14"/>
  <c r="O24" i="10"/>
  <c r="N16"/>
  <c r="N6" i="2"/>
  <c r="N13" s="1"/>
  <c r="O7"/>
  <c r="O22" i="12"/>
  <c r="O15" s="1"/>
  <c r="R17"/>
  <c r="O10"/>
  <c r="N6"/>
  <c r="N14" s="1"/>
  <c r="S10" i="4"/>
  <c r="R6"/>
  <c r="R14" s="1"/>
  <c r="O23"/>
  <c r="N16"/>
  <c r="O6" i="5"/>
  <c r="O14" s="1"/>
  <c r="S22" i="9"/>
  <c r="R15"/>
  <c r="P21" i="1"/>
  <c r="O14"/>
  <c r="T7" i="9"/>
  <c r="S6"/>
  <c r="S13" s="1"/>
  <c r="Q32"/>
  <c r="P31" i="13"/>
  <c r="U30" i="6" l="1"/>
  <c r="Q24" i="10"/>
  <c r="O16"/>
  <c r="P16" s="1"/>
  <c r="P24"/>
  <c r="O6" i="2"/>
  <c r="O13" s="1"/>
  <c r="Q7"/>
  <c r="P7"/>
  <c r="P6" s="1"/>
  <c r="Q22" i="12"/>
  <c r="P22"/>
  <c r="P15"/>
  <c r="P32" s="1"/>
  <c r="S17"/>
  <c r="Q10"/>
  <c r="O6"/>
  <c r="O14" s="1"/>
  <c r="P10"/>
  <c r="Q23" i="4"/>
  <c r="O16"/>
  <c r="P16" s="1"/>
  <c r="P23"/>
  <c r="S6"/>
  <c r="S14" s="1"/>
  <c r="T10"/>
  <c r="P13" i="2"/>
  <c r="R10" i="5"/>
  <c r="P6"/>
  <c r="P14" s="1"/>
  <c r="Q10"/>
  <c r="T22" i="9"/>
  <c r="S15"/>
  <c r="R21" i="1"/>
  <c r="P14"/>
  <c r="Q14" s="1"/>
  <c r="Q21"/>
  <c r="T6" i="9"/>
  <c r="T13" s="1"/>
  <c r="U13" s="1"/>
  <c r="V13" s="1"/>
  <c r="U7"/>
  <c r="T16" i="13"/>
  <c r="T17"/>
  <c r="U17" s="1"/>
  <c r="P29" i="10" l="1"/>
  <c r="R24"/>
  <c r="Q16"/>
  <c r="Q6" i="2"/>
  <c r="Q13" s="1"/>
  <c r="R7"/>
  <c r="R22" i="12"/>
  <c r="Q15"/>
  <c r="T17"/>
  <c r="U17" s="1"/>
  <c r="P6"/>
  <c r="R10"/>
  <c r="R6" s="1"/>
  <c r="Q6"/>
  <c r="Q14" s="1"/>
  <c r="T6" i="4"/>
  <c r="U10"/>
  <c r="P31"/>
  <c r="R23"/>
  <c r="Q16"/>
  <c r="Q6" i="5"/>
  <c r="S10"/>
  <c r="R6"/>
  <c r="R14" s="1"/>
  <c r="T15" i="9"/>
  <c r="U15" s="1"/>
  <c r="U22"/>
  <c r="V22" s="1"/>
  <c r="Q30" i="1"/>
  <c r="S21"/>
  <c r="R14"/>
  <c r="U6" i="9"/>
  <c r="V6" s="1"/>
  <c r="V7"/>
  <c r="T31" i="13"/>
  <c r="U16"/>
  <c r="S24" i="10" l="1"/>
  <c r="R16"/>
  <c r="R6" i="2"/>
  <c r="R13" s="1"/>
  <c r="S7"/>
  <c r="S22" i="12"/>
  <c r="R15"/>
  <c r="S10"/>
  <c r="R14"/>
  <c r="P14"/>
  <c r="S23" i="4"/>
  <c r="R16"/>
  <c r="T14"/>
  <c r="U14" s="1"/>
  <c r="U6"/>
  <c r="T10" i="5"/>
  <c r="S6"/>
  <c r="S14" s="1"/>
  <c r="Q14"/>
  <c r="U32" i="9"/>
  <c r="V15"/>
  <c r="T21" i="1"/>
  <c r="S14"/>
  <c r="U31" i="13"/>
  <c r="S16" i="10" l="1"/>
  <c r="T16" s="1"/>
  <c r="T24"/>
  <c r="U24" s="1"/>
  <c r="S6" i="2"/>
  <c r="S13" s="1"/>
  <c r="T7"/>
  <c r="T22" i="12"/>
  <c r="U22" s="1"/>
  <c r="S15"/>
  <c r="T15" s="1"/>
  <c r="S6"/>
  <c r="S14" s="1"/>
  <c r="T10"/>
  <c r="S16" i="4"/>
  <c r="T16" s="1"/>
  <c r="T23"/>
  <c r="U23" s="1"/>
  <c r="T6" i="5"/>
  <c r="T14" s="1"/>
  <c r="U10"/>
  <c r="V32" i="9"/>
  <c r="T14" i="1"/>
  <c r="U14" s="1"/>
  <c r="U21"/>
  <c r="V21" s="1"/>
  <c r="T29" i="10" l="1"/>
  <c r="U16"/>
  <c r="T6" i="2"/>
  <c r="U7"/>
  <c r="T32" i="12"/>
  <c r="U15"/>
  <c r="T6"/>
  <c r="U10"/>
  <c r="T31" i="4"/>
  <c r="U16"/>
  <c r="U6" i="5"/>
  <c r="V10"/>
  <c r="U30" i="1"/>
  <c r="V14"/>
  <c r="U29" i="10" l="1"/>
  <c r="T13" i="2"/>
  <c r="U13" s="1"/>
  <c r="U6"/>
  <c r="U32" i="12"/>
  <c r="T14"/>
  <c r="U14" s="1"/>
  <c r="U6"/>
  <c r="U31" i="4"/>
  <c r="U14" i="5"/>
  <c r="V14" s="1"/>
  <c r="V6"/>
  <c r="V30" i="1"/>
  <c r="G6" i="18"/>
  <c r="G13" s="1"/>
</calcChain>
</file>

<file path=xl/comments1.xml><?xml version="1.0" encoding="utf-8"?>
<comments xmlns="http://schemas.openxmlformats.org/spreadsheetml/2006/main">
  <authors>
    <author>Автор</author>
  </authors>
  <commentList>
    <comment ref="E5" authorId="0">
      <text>
        <r>
          <rPr>
            <sz val="8"/>
            <color indexed="81"/>
            <rFont val="Tahoma"/>
            <family val="2"/>
            <charset val="204"/>
          </rPr>
          <t xml:space="preserve">с 01.02.2022 по плану работ
</t>
        </r>
      </text>
    </comment>
    <comment ref="R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29.11.2022 по 30.11.2022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I5" authorId="0">
      <text>
        <r>
          <rPr>
            <sz val="8"/>
            <color indexed="81"/>
            <rFont val="Tahoma"/>
            <family val="2"/>
            <charset val="204"/>
          </rPr>
          <t xml:space="preserve">с 01.05.2022
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sz val="8"/>
            <color indexed="81"/>
            <rFont val="Tahoma"/>
            <family val="2"/>
            <charset val="204"/>
          </rPr>
          <t xml:space="preserve">Повышение тарифа МП Быт Сервис сняли с текущего ремонта 0,70 копеек
</t>
        </r>
      </text>
    </comment>
    <comment ref="E5" authorId="0">
      <text>
        <r>
          <rPr>
            <sz val="8"/>
            <color indexed="81"/>
            <rFont val="Tahoma"/>
            <family val="2"/>
            <charset val="204"/>
          </rPr>
          <t xml:space="preserve">с 01.02.2022г. По плану работ
</t>
        </r>
      </text>
    </comment>
    <comment ref="M5" authorId="0">
      <text>
        <r>
          <rPr>
            <sz val="8"/>
            <color indexed="81"/>
            <rFont val="Tahoma"/>
            <family val="2"/>
            <charset val="204"/>
          </rPr>
          <t>с 01.07.2022 индексация 3,46%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E5" authorId="0">
      <text>
        <r>
          <rPr>
            <sz val="8"/>
            <color indexed="81"/>
            <rFont val="Tahoma"/>
            <family val="2"/>
            <charset val="204"/>
          </rPr>
          <t xml:space="preserve">с 01.02.2022 по плану работ
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22.08.2022 по 31.08.2022 Усл пред 21 день</t>
        </r>
      </text>
    </comment>
    <comment ref="Q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01 10.2022 по 31.10.2022</t>
        </r>
      </text>
    </comment>
    <comment ref="R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01.11.2022 по 30.11.2022 п.8</t>
        </r>
      </text>
    </comment>
    <comment ref="S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с 01.12.2022 по 31.12.2022 п.8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E5" authorId="0">
      <text>
        <r>
          <rPr>
            <sz val="8"/>
            <color indexed="81"/>
            <rFont val="Tahoma"/>
            <family val="2"/>
            <charset val="204"/>
          </rPr>
          <t xml:space="preserve">с 01.02.2022г.
</t>
        </r>
      </text>
    </comment>
    <comment ref="D9" authorId="0">
      <text>
        <r>
          <rPr>
            <sz val="8"/>
            <color indexed="81"/>
            <rFont val="Tahoma"/>
            <family val="2"/>
            <charset val="204"/>
          </rPr>
          <t xml:space="preserve">с 01.01.2022 по 17.01.2022
</t>
        </r>
      </text>
    </comment>
    <comment ref="F9" authorId="0">
      <text>
        <r>
          <rPr>
            <sz val="8"/>
            <color indexed="81"/>
            <rFont val="Tahoma"/>
            <family val="2"/>
            <charset val="204"/>
          </rPr>
          <t xml:space="preserve">с 01.02.2022 по 09.02.2022г. Усл не пред
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sz val="8"/>
            <color indexed="81"/>
            <rFont val="Tahoma"/>
            <family val="2"/>
            <charset val="204"/>
          </rPr>
          <t xml:space="preserve">с 01.01.2022г. Прошла индексация тариф 15,35 на 15,88 индексация 3,46%
</t>
        </r>
      </text>
    </comment>
    <comment ref="J5" authorId="0">
      <text>
        <r>
          <rPr>
            <sz val="8"/>
            <color indexed="81"/>
            <rFont val="Tahoma"/>
            <family val="2"/>
            <charset val="204"/>
          </rPr>
          <t xml:space="preserve">с 01.06.2022г. Протокол от 30.05.2022г 15,88 +2,20= 18,08 уборка л.клеток
</t>
        </r>
      </text>
    </comment>
    <comment ref="C8" authorId="0">
      <text>
        <r>
          <rPr>
            <sz val="8"/>
            <color indexed="81"/>
            <rFont val="Tahoma"/>
            <family val="2"/>
            <charset val="204"/>
          </rPr>
          <t xml:space="preserve">Протокол начислять с 01.01.2022 план не был подписан сделали как думали что будем делать но,но решили по другому
</t>
        </r>
      </text>
    </comment>
    <comment ref="J8" authorId="0">
      <text>
        <r>
          <rPr>
            <sz val="8"/>
            <color indexed="81"/>
            <rFont val="Tahoma"/>
            <family val="2"/>
            <charset val="204"/>
          </rPr>
          <t xml:space="preserve">Протокол начислять с 01.01.2022 план не был подписан сделали как думали что будем делать но,но решили по другому
</t>
        </r>
      </text>
    </comment>
    <comment ref="Q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01.10.2022 по 31.10.2022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sz val="8"/>
            <color indexed="81"/>
            <rFont val="Tahoma"/>
            <family val="2"/>
            <charset val="204"/>
          </rPr>
          <t xml:space="preserve">МП Быт Сервис увеличение тарифа сняли с текущего ремонта 0,70 коп с 01.01.2022 увеличение тарифа на 1 руб
</t>
        </r>
      </text>
    </comment>
    <comment ref="R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01.12.2022 по 13.12.2022</t>
        </r>
      </text>
    </comment>
    <comment ref="J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01.06.2022 по 31.06.2022г</t>
        </r>
      </text>
    </comment>
  </commentList>
</comments>
</file>

<file path=xl/comments16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sz val="8"/>
            <color indexed="81"/>
            <rFont val="Tahoma"/>
            <family val="2"/>
            <charset val="204"/>
          </rPr>
          <t xml:space="preserve">индексация с 01.02.2021
</t>
        </r>
      </text>
    </comment>
    <comment ref="E5" authorId="0">
      <text>
        <r>
          <rPr>
            <sz val="8"/>
            <color indexed="81"/>
            <rFont val="Tahoma"/>
            <family val="2"/>
            <charset val="204"/>
          </rPr>
          <t xml:space="preserve">с 01.03.2022г. Без иповышения тарифа по плану
</t>
        </r>
      </text>
    </comment>
    <comment ref="M5" authorId="0">
      <text>
        <r>
          <rPr>
            <sz val="8"/>
            <color indexed="81"/>
            <rFont val="Tahoma"/>
            <family val="2"/>
            <charset val="204"/>
          </rPr>
          <t>с 01.07.2022 индексация 3,46%</t>
        </r>
      </text>
    </comment>
  </commentList>
</comments>
</file>

<file path=xl/comments17.xml><?xml version="1.0" encoding="utf-8"?>
<comments xmlns="http://schemas.openxmlformats.org/spreadsheetml/2006/main">
  <authors>
    <author>Автор</author>
  </authors>
  <commentList>
    <comment ref="E5" authorId="0">
      <text>
        <r>
          <rPr>
            <sz val="8"/>
            <color indexed="81"/>
            <rFont val="Tahoma"/>
            <family val="2"/>
            <charset val="204"/>
          </rPr>
          <t xml:space="preserve">с 01.02.2022 по плану работ 
</t>
        </r>
      </text>
    </comment>
  </commentList>
</comments>
</file>

<file path=xl/comments18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sz val="8"/>
            <color indexed="81"/>
            <rFont val="Tahoma"/>
            <family val="2"/>
            <charset val="204"/>
          </rPr>
          <t xml:space="preserve">увеличение тарифа газ с 01.09.2021 сняли с текущего ремонта 0,70 коп
</t>
        </r>
      </text>
    </comment>
    <comment ref="F5" authorId="0">
      <text>
        <r>
          <rPr>
            <sz val="8"/>
            <color indexed="81"/>
            <rFont val="Tahoma"/>
            <family val="2"/>
            <charset val="204"/>
          </rPr>
          <t xml:space="preserve">с 01.03.2022г. Повышение тарифа на 1,20
</t>
        </r>
      </text>
    </comment>
    <comment ref="E9" authorId="0">
      <text>
        <r>
          <rPr>
            <sz val="8"/>
            <color indexed="81"/>
            <rFont val="Tahoma"/>
            <family val="2"/>
            <charset val="204"/>
          </rPr>
          <t xml:space="preserve">с 01.02.2022 по 15.02.2022
</t>
        </r>
      </text>
    </comment>
    <comment ref="O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01.09.2022 по 30.09.2022</t>
        </r>
      </text>
    </comment>
  </commentList>
</comments>
</file>

<file path=xl/comments19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sz val="8"/>
            <color indexed="81"/>
            <rFont val="Tahoma"/>
            <family val="2"/>
            <charset val="204"/>
          </rPr>
          <t xml:space="preserve">увеличение тарифа газ с 01.09.2021 сняли с текущего ремонта 0,70 коп
</t>
        </r>
      </text>
    </comment>
    <comment ref="F5" authorId="0">
      <text>
        <r>
          <rPr>
            <sz val="8"/>
            <color indexed="81"/>
            <rFont val="Tahoma"/>
            <family val="2"/>
            <charset val="204"/>
          </rPr>
          <t>с 01.03.2022 повышение тарифа на 
1,20 руб</t>
        </r>
      </text>
    </comment>
    <comment ref="E9" authorId="0">
      <text>
        <r>
          <rPr>
            <sz val="8"/>
            <color indexed="81"/>
            <rFont val="Tahoma"/>
            <family val="2"/>
            <charset val="204"/>
          </rPr>
          <t xml:space="preserve">с 01.02.2022 по 21.02.2022 усл не пред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sz val="8"/>
            <color indexed="81"/>
            <rFont val="Tahoma"/>
            <family val="2"/>
            <charset val="204"/>
          </rPr>
          <t xml:space="preserve">индексация с 01.02.2021г.
</t>
        </r>
      </text>
    </comment>
    <comment ref="E5" authorId="0">
      <text>
        <r>
          <rPr>
            <sz val="8"/>
            <color indexed="81"/>
            <rFont val="Tahoma"/>
            <family val="2"/>
            <charset val="204"/>
          </rPr>
          <t xml:space="preserve">с 01.02.2022 по плану работ
</t>
        </r>
      </text>
    </comment>
    <comment ref="M5" authorId="0">
      <text>
        <r>
          <rPr>
            <sz val="8"/>
            <color indexed="81"/>
            <rFont val="Tahoma"/>
            <family val="2"/>
            <charset val="204"/>
          </rPr>
          <t>с 01.07.2022 индексация 3,46%</t>
        </r>
      </text>
    </comment>
    <comment ref="S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29.11.2022 по 30.11.2022</t>
        </r>
      </text>
    </comment>
  </commentList>
</comments>
</file>

<file path=xl/comments20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sz val="8"/>
            <color indexed="81"/>
            <rFont val="Tahoma"/>
            <family val="2"/>
            <charset val="204"/>
          </rPr>
          <t xml:space="preserve">увеличение тарифа газ с 01.09.2021г. Сняли с текущего ремонта 0,70 коп
</t>
        </r>
      </text>
    </comment>
    <comment ref="F5" authorId="0">
      <text>
        <r>
          <rPr>
            <sz val="8"/>
            <color indexed="81"/>
            <rFont val="Tahoma"/>
            <family val="2"/>
            <charset val="204"/>
          </rPr>
          <t xml:space="preserve">с 01.03.2022
</t>
        </r>
      </text>
    </comment>
    <comment ref="I9" authorId="0">
      <text>
        <r>
          <rPr>
            <sz val="8"/>
            <color indexed="81"/>
            <rFont val="Tahoma"/>
            <family val="2"/>
            <charset val="204"/>
          </rPr>
          <t xml:space="preserve">с 01.04.2022 по 30.04.2022
</t>
        </r>
      </text>
    </comment>
    <comment ref="K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01.06.2022г. По 30.06.2022г.</t>
        </r>
      </text>
    </comment>
  </commentList>
</comments>
</file>

<file path=xl/comments2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sz val="8"/>
            <color indexed="81"/>
            <rFont val="Tahoma"/>
            <family val="2"/>
            <charset val="204"/>
          </rPr>
          <t xml:space="preserve">Быт сервис увеличили тариф с 1,70 на 2,40 разница снята с текущего ремонта 0,70 коп
</t>
        </r>
      </text>
    </comment>
    <comment ref="E5" authorId="0">
      <text>
        <r>
          <rPr>
            <sz val="8"/>
            <color indexed="81"/>
            <rFont val="Tahoma"/>
            <family val="2"/>
            <charset val="204"/>
          </rPr>
          <t xml:space="preserve"> с 01.02.2022г. По плану работ
</t>
        </r>
      </text>
    </comment>
    <comment ref="M5" authorId="0">
      <text>
        <r>
          <rPr>
            <sz val="8"/>
            <color indexed="81"/>
            <rFont val="Tahoma"/>
            <family val="2"/>
            <charset val="204"/>
          </rPr>
          <t>с 01.07.2022 индексация 3,46%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5" authorId="0">
      <text>
        <r>
          <rPr>
            <sz val="8"/>
            <color indexed="81"/>
            <rFont val="Tahoma"/>
            <family val="2"/>
            <charset val="204"/>
          </rPr>
          <t xml:space="preserve">с 01.02.2022г по плану работ
</t>
        </r>
      </text>
    </comment>
    <comment ref="M5" authorId="0">
      <text>
        <r>
          <rPr>
            <sz val="8"/>
            <color indexed="81"/>
            <rFont val="Tahoma"/>
            <family val="2"/>
            <charset val="204"/>
          </rPr>
          <t>с 01.07.2022 индексация 3,46%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5" authorId="0">
      <text>
        <r>
          <rPr>
            <sz val="8"/>
            <color indexed="81"/>
            <rFont val="Tahoma"/>
            <family val="2"/>
            <charset val="204"/>
          </rPr>
          <t xml:space="preserve">индексация с 01.03.2022г 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sz val="8"/>
            <color indexed="81"/>
            <rFont val="Tahoma"/>
            <family val="2"/>
            <charset val="204"/>
          </rPr>
          <t xml:space="preserve">с 01.01.2022г.
</t>
        </r>
      </text>
    </comment>
    <comment ref="H5" authorId="0">
      <text>
        <r>
          <rPr>
            <sz val="8"/>
            <color indexed="81"/>
            <rFont val="Tahoma"/>
            <family val="2"/>
            <charset val="204"/>
          </rPr>
          <t xml:space="preserve">с 01.01.2022г.
</t>
        </r>
      </text>
    </comment>
    <comment ref="H10" authorId="0">
      <text>
        <r>
          <rPr>
            <sz val="8"/>
            <color indexed="81"/>
            <rFont val="Tahoma"/>
            <family val="2"/>
            <charset val="204"/>
          </rPr>
          <t xml:space="preserve">небыло плана работ приказ в январе сделала чтобы пораньше начислять по услугам потом Алена принесла план задним числом уже после того как решили помненять стоимость по приборам учета 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sz val="8"/>
            <color indexed="81"/>
            <rFont val="Tahoma"/>
            <family val="2"/>
            <charset val="204"/>
          </rPr>
          <t xml:space="preserve">Увеличение тарифа с 01.05.2020
</t>
        </r>
      </text>
    </comment>
    <comment ref="E5" authorId="0">
      <text>
        <r>
          <rPr>
            <sz val="8"/>
            <color indexed="81"/>
            <rFont val="Tahoma"/>
            <family val="2"/>
            <charset val="204"/>
          </rPr>
          <t xml:space="preserve">с 01.02.2022 по плану работ 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E5" authorId="0">
      <text>
        <r>
          <rPr>
            <sz val="8"/>
            <color indexed="81"/>
            <rFont val="Tahoma"/>
            <family val="2"/>
            <charset val="204"/>
          </rPr>
          <t xml:space="preserve">с 01.02.2022
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sz val="8"/>
            <color indexed="81"/>
            <rFont val="Tahoma"/>
            <family val="2"/>
            <charset val="204"/>
          </rPr>
          <t xml:space="preserve">индексация с 01.02.2021
</t>
        </r>
      </text>
    </comment>
    <comment ref="E5" authorId="0">
      <text>
        <r>
          <rPr>
            <sz val="8"/>
            <color indexed="81"/>
            <rFont val="Tahoma"/>
            <family val="2"/>
            <charset val="204"/>
          </rPr>
          <t xml:space="preserve">индексация с 01.02.2022 по плану работ
</t>
        </r>
      </text>
    </comment>
    <comment ref="M5" authorId="0">
      <text>
        <r>
          <rPr>
            <sz val="8"/>
            <color indexed="81"/>
            <rFont val="Tahoma"/>
            <family val="2"/>
            <charset val="204"/>
          </rPr>
          <t xml:space="preserve">с 01.07.2022 индексация 3,46%
</t>
        </r>
      </text>
    </comment>
    <comment ref="K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01.06.2022 по 30.06.2022г.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E5" authorId="0">
      <text>
        <r>
          <rPr>
            <sz val="8"/>
            <color indexed="81"/>
            <rFont val="Tahoma"/>
            <family val="2"/>
            <charset val="204"/>
          </rPr>
          <t xml:space="preserve">с 01.02.2022 по плану работ
</t>
        </r>
      </text>
    </comment>
  </commentList>
</comments>
</file>

<file path=xl/sharedStrings.xml><?xml version="1.0" encoding="utf-8"?>
<sst xmlns="http://schemas.openxmlformats.org/spreadsheetml/2006/main" count="1484" uniqueCount="141">
  <si>
    <t>ОТЧЕТ</t>
  </si>
  <si>
    <t>о затратах по предоставлению услуг по содержанию и ремонту общего имущества</t>
  </si>
  <si>
    <t>Наименование статей</t>
  </si>
  <si>
    <t>тариф</t>
  </si>
  <si>
    <t xml:space="preserve">январь </t>
  </si>
  <si>
    <t>февраль</t>
  </si>
  <si>
    <t>март</t>
  </si>
  <si>
    <t>1 квартал</t>
  </si>
  <si>
    <t xml:space="preserve">апрель </t>
  </si>
  <si>
    <t>май</t>
  </si>
  <si>
    <t>июнь</t>
  </si>
  <si>
    <t>2 квартал</t>
  </si>
  <si>
    <t>1.</t>
  </si>
  <si>
    <t>Доходы (начисления):</t>
  </si>
  <si>
    <t>1.1.</t>
  </si>
  <si>
    <t>Текущее содержание</t>
  </si>
  <si>
    <t>1.2.</t>
  </si>
  <si>
    <t>Уборка придомовой территории</t>
  </si>
  <si>
    <t>1.3.</t>
  </si>
  <si>
    <t>обслуживание  приборов учета</t>
  </si>
  <si>
    <t>оплачено собственниками</t>
  </si>
  <si>
    <t>долг (переплата)</t>
  </si>
  <si>
    <t>2.</t>
  </si>
  <si>
    <t>Расходы:</t>
  </si>
  <si>
    <t>2.1.</t>
  </si>
  <si>
    <t>2.2.</t>
  </si>
  <si>
    <t>Услуги производственного отдела</t>
  </si>
  <si>
    <t>2.3.</t>
  </si>
  <si>
    <t>2.4.</t>
  </si>
  <si>
    <t>поверка приборов учета</t>
  </si>
  <si>
    <t>Уборка лестничных клеток</t>
  </si>
  <si>
    <t>1.4.</t>
  </si>
  <si>
    <t>1.5.</t>
  </si>
  <si>
    <t>2.5.</t>
  </si>
  <si>
    <t>2.6.</t>
  </si>
  <si>
    <t>2.7.</t>
  </si>
  <si>
    <t>площадь по л.с-4384,40</t>
  </si>
  <si>
    <t>встройка</t>
  </si>
  <si>
    <t>Встройка</t>
  </si>
  <si>
    <t>АДС</t>
  </si>
  <si>
    <t>Содержание и текущий ремонт МКД</t>
  </si>
  <si>
    <t>Паспортный стол</t>
  </si>
  <si>
    <t>в том числе:</t>
  </si>
  <si>
    <t>Остаток денежных средств</t>
  </si>
  <si>
    <t>в том числе</t>
  </si>
  <si>
    <t xml:space="preserve">АДС </t>
  </si>
  <si>
    <t>Поверка прэм</t>
  </si>
  <si>
    <t>поверка прэм</t>
  </si>
  <si>
    <t>поверка тепловычислителя ВКТ7</t>
  </si>
  <si>
    <t>Поверка комплекта термометров</t>
  </si>
  <si>
    <t>поверка ВСКМ90 50</t>
  </si>
  <si>
    <t>поверка ПРЭМ</t>
  </si>
  <si>
    <t>поверка вскм50</t>
  </si>
  <si>
    <t>дератизация и дезинсекция</t>
  </si>
  <si>
    <t>июль</t>
  </si>
  <si>
    <t>август</t>
  </si>
  <si>
    <t>сентябрь</t>
  </si>
  <si>
    <t>3 квартал</t>
  </si>
  <si>
    <t>поверка комплекта термометров</t>
  </si>
  <si>
    <t>поверка тепловычислителя ВКТ 7</t>
  </si>
  <si>
    <t>поверка комплектов термометров</t>
  </si>
  <si>
    <t>техобслуживание ПРЭМ</t>
  </si>
  <si>
    <t>поверка ВСКМ 32</t>
  </si>
  <si>
    <t>октябрь</t>
  </si>
  <si>
    <t>ноябрь</t>
  </si>
  <si>
    <t>декабрь</t>
  </si>
  <si>
    <t>4 квартал</t>
  </si>
  <si>
    <t>площадь по л.с-4365,8</t>
  </si>
  <si>
    <t>площадь по л.с-2708,9</t>
  </si>
  <si>
    <t>площадь по л.с-2826,3</t>
  </si>
  <si>
    <t>Поверка теплосчетчика ТЭМ № 1444777</t>
  </si>
  <si>
    <t>итого год</t>
  </si>
  <si>
    <t>Провайдеры</t>
  </si>
  <si>
    <t>Дератизация и дезинсекция</t>
  </si>
  <si>
    <t>площадь по л.с-4398,2</t>
  </si>
  <si>
    <t>площадь по л.с-5695,1</t>
  </si>
  <si>
    <t>площадь по л.с-5695,11</t>
  </si>
  <si>
    <t>площадь по л.с-5756,2</t>
  </si>
  <si>
    <t>площадь по л.с-3478,3</t>
  </si>
  <si>
    <t>площадь по л.с-5734,4</t>
  </si>
  <si>
    <t>площадь по л.с-5757,4</t>
  </si>
  <si>
    <t>площадь по л.с-6912,41</t>
  </si>
  <si>
    <t>площадь по л.с-5687,9</t>
  </si>
  <si>
    <t>оплата госпошлины</t>
  </si>
  <si>
    <t>Прочие расходы</t>
  </si>
  <si>
    <t xml:space="preserve"> </t>
  </si>
  <si>
    <t>площадь по л.с-5996</t>
  </si>
  <si>
    <t>провайдеры</t>
  </si>
  <si>
    <t>Услуги управления</t>
  </si>
  <si>
    <t>обслуживание приборов учета</t>
  </si>
  <si>
    <t>Прочие затраты</t>
  </si>
  <si>
    <t>Оплата госпошлины</t>
  </si>
  <si>
    <t>площадь по л.с-5734,60</t>
  </si>
  <si>
    <t>Тариф</t>
  </si>
  <si>
    <t>Директор:</t>
  </si>
  <si>
    <t>ООО УК " Лидер"</t>
  </si>
  <si>
    <t>площадь по л.с-2391,4</t>
  </si>
  <si>
    <t>площадь по л.с-4895</t>
  </si>
  <si>
    <t>площадь по л.с-2681,5</t>
  </si>
  <si>
    <t>площадь по л.с-4589,2</t>
  </si>
  <si>
    <t>ТАРИФ</t>
  </si>
  <si>
    <t>2.8</t>
  </si>
  <si>
    <t>1.4</t>
  </si>
  <si>
    <t>1.5</t>
  </si>
  <si>
    <t>Содержание и текущий ремонт</t>
  </si>
  <si>
    <t>№8Б ул. Космонавтов за 2022 год</t>
  </si>
  <si>
    <t>№ 4 ул. Космонавтов  за 2022 год</t>
  </si>
  <si>
    <t>№ 2 ул. Калинина за 2022 год</t>
  </si>
  <si>
    <t>№ 2а ул. Калинина за 2022 год</t>
  </si>
  <si>
    <t>№ 3 ул. Калинина за 2022 год</t>
  </si>
  <si>
    <t>№ 4а ул. Калинина за 2022 год</t>
  </si>
  <si>
    <t>№ 5 ул. Калинина за 2022 год</t>
  </si>
  <si>
    <t>№ 7 ул. Калинина  за 2022 год</t>
  </si>
  <si>
    <t>№ 9 ул. Калинина  за 2022 год</t>
  </si>
  <si>
    <t>№ 11 ул. Калинина  за 2022 год</t>
  </si>
  <si>
    <t>№ 13 ул. Калинина  за 2022 год</t>
  </si>
  <si>
    <t>№ 14 ул. Калинина  за 2022 год</t>
  </si>
  <si>
    <t>№ 45 ул. Чапаева  за 2022 год</t>
  </si>
  <si>
    <t>№ 47 ул. Чапаева  за 2022 год</t>
  </si>
  <si>
    <t>№ 51 ул. Чапаева  за 2022 год</t>
  </si>
  <si>
    <t>№ 37 ул. Советская  за 2022 год</t>
  </si>
  <si>
    <t>№ 2 ул. Космонавтов за 2022 год</t>
  </si>
  <si>
    <t>1.6.</t>
  </si>
  <si>
    <t>Техническое обслуживание</t>
  </si>
  <si>
    <t>2.8.</t>
  </si>
  <si>
    <t>2.9.</t>
  </si>
  <si>
    <t>№ 6 ул. Космонавтов  за 2022 год</t>
  </si>
  <si>
    <t>площадь по л.с-2785,1</t>
  </si>
  <si>
    <t>№ 8 ул. Космонавтов  за 2022 год</t>
  </si>
  <si>
    <t>площадь по л.с-5732</t>
  </si>
  <si>
    <t>без инд</t>
  </si>
  <si>
    <t>№ 8а ул. Космонавтов  за 2022 год</t>
  </si>
  <si>
    <t>площадь по л.с-5658</t>
  </si>
  <si>
    <t>Технитческое обслуживание</t>
  </si>
  <si>
    <t>2,8.</t>
  </si>
  <si>
    <t>№ 15 ул. Калинина (Газ)  за 2022 год</t>
  </si>
  <si>
    <t>с индексацией</t>
  </si>
  <si>
    <t>№ 49 ул. Чапаева  за 2022 год (Лифтовое оборудование 5,10 руб.)</t>
  </si>
  <si>
    <t>В.А.Володько________</t>
  </si>
  <si>
    <r>
      <t xml:space="preserve">о затратах по предоставлению услуг по содержанию и ремонту общего имущества </t>
    </r>
    <r>
      <rPr>
        <b/>
        <sz val="11"/>
        <color theme="1"/>
        <rFont val="Times New Roman"/>
        <family val="1"/>
        <charset val="204"/>
      </rPr>
      <t>(Индексация)</t>
    </r>
  </si>
  <si>
    <r>
      <t>о затратах по предоставлению услуг по содержанию и ремонту общего имущества</t>
    </r>
    <r>
      <rPr>
        <b/>
        <sz val="11"/>
        <color theme="1"/>
        <rFont val="Times New Roman"/>
        <family val="1"/>
        <charset val="204"/>
      </rPr>
      <t xml:space="preserve"> (Индексация)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</si>
</sst>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9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1" fillId="0" borderId="0" xfId="0" applyFont="1" applyBorder="1"/>
    <xf numFmtId="0" fontId="0" fillId="0" borderId="0" xfId="0" applyFont="1"/>
    <xf numFmtId="1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0" fillId="2" borderId="0" xfId="0" applyFont="1" applyFill="1"/>
    <xf numFmtId="0" fontId="1" fillId="2" borderId="0" xfId="0" applyFont="1" applyFill="1"/>
    <xf numFmtId="0" fontId="0" fillId="2" borderId="0" xfId="0" applyFill="1"/>
    <xf numFmtId="0" fontId="1" fillId="0" borderId="0" xfId="0" applyFont="1" applyFill="1" applyBorder="1"/>
    <xf numFmtId="0" fontId="3" fillId="0" borderId="0" xfId="0" applyFont="1"/>
    <xf numFmtId="0" fontId="3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1" fontId="5" fillId="4" borderId="1" xfId="0" applyNumberFormat="1" applyFont="1" applyFill="1" applyBorder="1"/>
    <xf numFmtId="2" fontId="5" fillId="4" borderId="1" xfId="0" applyNumberFormat="1" applyFont="1" applyFill="1" applyBorder="1"/>
    <xf numFmtId="1" fontId="3" fillId="4" borderId="1" xfId="0" applyNumberFormat="1" applyFont="1" applyFill="1" applyBorder="1"/>
    <xf numFmtId="49" fontId="3" fillId="0" borderId="1" xfId="0" applyNumberFormat="1" applyFont="1" applyBorder="1"/>
    <xf numFmtId="0" fontId="3" fillId="2" borderId="1" xfId="0" applyFont="1" applyFill="1" applyBorder="1"/>
    <xf numFmtId="1" fontId="3" fillId="0" borderId="1" xfId="0" applyNumberFormat="1" applyFont="1" applyBorder="1"/>
    <xf numFmtId="1" fontId="5" fillId="2" borderId="1" xfId="0" applyNumberFormat="1" applyFont="1" applyFill="1" applyBorder="1"/>
    <xf numFmtId="2" fontId="4" fillId="4" borderId="1" xfId="0" applyNumberFormat="1" applyFont="1" applyFill="1" applyBorder="1"/>
    <xf numFmtId="1" fontId="3" fillId="2" borderId="1" xfId="0" applyNumberFormat="1" applyFont="1" applyFill="1" applyBorder="1"/>
    <xf numFmtId="1" fontId="4" fillId="0" borderId="1" xfId="0" applyNumberFormat="1" applyFont="1" applyBorder="1"/>
    <xf numFmtId="1" fontId="4" fillId="2" borderId="1" xfId="0" applyNumberFormat="1" applyFont="1" applyFill="1" applyBorder="1"/>
    <xf numFmtId="49" fontId="3" fillId="4" borderId="1" xfId="0" applyNumberFormat="1" applyFont="1" applyFill="1" applyBorder="1"/>
    <xf numFmtId="49" fontId="3" fillId="0" borderId="2" xfId="0" applyNumberFormat="1" applyFont="1" applyBorder="1"/>
    <xf numFmtId="0" fontId="3" fillId="0" borderId="2" xfId="0" applyFont="1" applyBorder="1"/>
    <xf numFmtId="1" fontId="3" fillId="0" borderId="2" xfId="0" applyNumberFormat="1" applyFont="1" applyBorder="1"/>
    <xf numFmtId="1" fontId="5" fillId="2" borderId="2" xfId="0" applyNumberFormat="1" applyFont="1" applyFill="1" applyBorder="1"/>
    <xf numFmtId="49" fontId="3" fillId="0" borderId="4" xfId="0" applyNumberFormat="1" applyFont="1" applyBorder="1"/>
    <xf numFmtId="0" fontId="3" fillId="0" borderId="5" xfId="0" applyFont="1" applyBorder="1"/>
    <xf numFmtId="1" fontId="4" fillId="0" borderId="5" xfId="0" applyNumberFormat="1" applyFont="1" applyBorder="1"/>
    <xf numFmtId="1" fontId="5" fillId="2" borderId="5" xfId="0" applyNumberFormat="1" applyFont="1" applyFill="1" applyBorder="1"/>
    <xf numFmtId="1" fontId="4" fillId="2" borderId="5" xfId="0" applyNumberFormat="1" applyFont="1" applyFill="1" applyBorder="1"/>
    <xf numFmtId="2" fontId="4" fillId="4" borderId="5" xfId="0" applyNumberFormat="1" applyFont="1" applyFill="1" applyBorder="1"/>
    <xf numFmtId="1" fontId="3" fillId="2" borderId="5" xfId="0" applyNumberFormat="1" applyFont="1" applyFill="1" applyBorder="1"/>
    <xf numFmtId="1" fontId="3" fillId="0" borderId="5" xfId="0" applyNumberFormat="1" applyFont="1" applyBorder="1"/>
    <xf numFmtId="49" fontId="3" fillId="0" borderId="3" xfId="0" applyNumberFormat="1" applyFont="1" applyBorder="1"/>
    <xf numFmtId="0" fontId="3" fillId="0" borderId="3" xfId="0" applyFont="1" applyBorder="1"/>
    <xf numFmtId="1" fontId="3" fillId="0" borderId="3" xfId="0" applyNumberFormat="1" applyFont="1" applyBorder="1"/>
    <xf numFmtId="1" fontId="5" fillId="2" borderId="3" xfId="0" applyNumberFormat="1" applyFont="1" applyFill="1" applyBorder="1"/>
    <xf numFmtId="2" fontId="4" fillId="4" borderId="2" xfId="0" applyNumberFormat="1" applyFont="1" applyFill="1" applyBorder="1"/>
    <xf numFmtId="2" fontId="3" fillId="4" borderId="1" xfId="0" applyNumberFormat="1" applyFont="1" applyFill="1" applyBorder="1"/>
    <xf numFmtId="1" fontId="3" fillId="0" borderId="0" xfId="0" applyNumberFormat="1" applyFont="1"/>
    <xf numFmtId="0" fontId="3" fillId="0" borderId="0" xfId="0" applyFont="1" applyBorder="1"/>
    <xf numFmtId="0" fontId="3" fillId="0" borderId="0" xfId="0" applyFont="1" applyFill="1" applyBorder="1"/>
    <xf numFmtId="1" fontId="0" fillId="2" borderId="0" xfId="0" applyNumberFormat="1" applyFill="1"/>
    <xf numFmtId="0" fontId="4" fillId="4" borderId="1" xfId="0" applyFont="1" applyFill="1" applyBorder="1" applyAlignment="1">
      <alignment horizontal="center"/>
    </xf>
    <xf numFmtId="1" fontId="6" fillId="4" borderId="1" xfId="0" applyNumberFormat="1" applyFont="1" applyFill="1" applyBorder="1"/>
    <xf numFmtId="1" fontId="4" fillId="4" borderId="1" xfId="0" applyNumberFormat="1" applyFont="1" applyFill="1" applyBorder="1"/>
    <xf numFmtId="1" fontId="3" fillId="2" borderId="0" xfId="0" applyNumberFormat="1" applyFont="1" applyFill="1"/>
    <xf numFmtId="1" fontId="3" fillId="2" borderId="2" xfId="0" applyNumberFormat="1" applyFont="1" applyFill="1" applyBorder="1"/>
    <xf numFmtId="0" fontId="3" fillId="0" borderId="4" xfId="0" applyFont="1" applyBorder="1"/>
    <xf numFmtId="1" fontId="5" fillId="5" borderId="1" xfId="0" applyNumberFormat="1" applyFont="1" applyFill="1" applyBorder="1"/>
    <xf numFmtId="1" fontId="3" fillId="5" borderId="1" xfId="0" applyNumberFormat="1" applyFont="1" applyFill="1" applyBorder="1"/>
    <xf numFmtId="1" fontId="5" fillId="5" borderId="2" xfId="0" applyNumberFormat="1" applyFont="1" applyFill="1" applyBorder="1"/>
    <xf numFmtId="1" fontId="5" fillId="5" borderId="5" xfId="0" applyNumberFormat="1" applyFont="1" applyFill="1" applyBorder="1"/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/>
    <xf numFmtId="1" fontId="5" fillId="4" borderId="2" xfId="0" applyNumberFormat="1" applyFont="1" applyFill="1" applyBorder="1"/>
    <xf numFmtId="1" fontId="5" fillId="4" borderId="5" xfId="0" applyNumberFormat="1" applyFont="1" applyFill="1" applyBorder="1"/>
    <xf numFmtId="1" fontId="4" fillId="4" borderId="5" xfId="0" applyNumberFormat="1" applyFont="1" applyFill="1" applyBorder="1"/>
    <xf numFmtId="1" fontId="3" fillId="4" borderId="5" xfId="0" applyNumberFormat="1" applyFont="1" applyFill="1" applyBorder="1"/>
    <xf numFmtId="2" fontId="4" fillId="3" borderId="1" xfId="0" applyNumberFormat="1" applyFont="1" applyFill="1" applyBorder="1"/>
    <xf numFmtId="2" fontId="4" fillId="3" borderId="2" xfId="0" applyNumberFormat="1" applyFont="1" applyFill="1" applyBorder="1"/>
    <xf numFmtId="2" fontId="4" fillId="3" borderId="5" xfId="0" applyNumberFormat="1" applyFont="1" applyFill="1" applyBorder="1"/>
    <xf numFmtId="1" fontId="3" fillId="2" borderId="8" xfId="0" applyNumberFormat="1" applyFont="1" applyFill="1" applyBorder="1"/>
    <xf numFmtId="2" fontId="4" fillId="3" borderId="6" xfId="0" applyNumberFormat="1" applyFont="1" applyFill="1" applyBorder="1"/>
    <xf numFmtId="1" fontId="3" fillId="0" borderId="6" xfId="0" applyNumberFormat="1" applyFont="1" applyBorder="1"/>
    <xf numFmtId="1" fontId="3" fillId="2" borderId="3" xfId="0" applyNumberFormat="1" applyFont="1" applyFill="1" applyBorder="1"/>
    <xf numFmtId="1" fontId="5" fillId="2" borderId="6" xfId="0" applyNumberFormat="1" applyFont="1" applyFill="1" applyBorder="1"/>
    <xf numFmtId="1" fontId="4" fillId="3" borderId="1" xfId="0" applyNumberFormat="1" applyFont="1" applyFill="1" applyBorder="1"/>
    <xf numFmtId="1" fontId="3" fillId="0" borderId="8" xfId="0" applyNumberFormat="1" applyFont="1" applyBorder="1"/>
    <xf numFmtId="2" fontId="4" fillId="3" borderId="3" xfId="0" applyNumberFormat="1" applyFont="1" applyFill="1" applyBorder="1"/>
    <xf numFmtId="0" fontId="3" fillId="2" borderId="2" xfId="0" applyFont="1" applyFill="1" applyBorder="1"/>
    <xf numFmtId="0" fontId="3" fillId="2" borderId="5" xfId="0" applyFont="1" applyFill="1" applyBorder="1"/>
    <xf numFmtId="0" fontId="3" fillId="2" borderId="3" xfId="0" applyFont="1" applyFill="1" applyBorder="1"/>
    <xf numFmtId="1" fontId="3" fillId="4" borderId="2" xfId="0" applyNumberFormat="1" applyFont="1" applyFill="1" applyBorder="1"/>
    <xf numFmtId="1" fontId="3" fillId="4" borderId="3" xfId="0" applyNumberFormat="1" applyFont="1" applyFill="1" applyBorder="1"/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2" fontId="4" fillId="4" borderId="3" xfId="0" applyNumberFormat="1" applyFont="1" applyFill="1" applyBorder="1"/>
    <xf numFmtId="2" fontId="4" fillId="2" borderId="1" xfId="0" applyNumberFormat="1" applyFont="1" applyFill="1" applyBorder="1"/>
    <xf numFmtId="1" fontId="4" fillId="0" borderId="2" xfId="0" applyNumberFormat="1" applyFont="1" applyBorder="1"/>
    <xf numFmtId="0" fontId="3" fillId="0" borderId="10" xfId="0" applyFont="1" applyBorder="1"/>
    <xf numFmtId="49" fontId="3" fillId="0" borderId="7" xfId="0" applyNumberFormat="1" applyFont="1" applyBorder="1"/>
    <xf numFmtId="1" fontId="4" fillId="2" borderId="2" xfId="0" applyNumberFormat="1" applyFont="1" applyFill="1" applyBorder="1"/>
    <xf numFmtId="0" fontId="3" fillId="4" borderId="4" xfId="0" applyFont="1" applyFill="1" applyBorder="1"/>
    <xf numFmtId="1" fontId="3" fillId="4" borderId="8" xfId="0" applyNumberFormat="1" applyFont="1" applyFill="1" applyBorder="1"/>
    <xf numFmtId="49" fontId="3" fillId="4" borderId="7" xfId="0" applyNumberFormat="1" applyFont="1" applyFill="1" applyBorder="1"/>
    <xf numFmtId="1" fontId="5" fillId="4" borderId="3" xfId="0" applyNumberFormat="1" applyFont="1" applyFill="1" applyBorder="1"/>
    <xf numFmtId="0" fontId="3" fillId="0" borderId="8" xfId="0" applyFont="1" applyBorder="1"/>
    <xf numFmtId="0" fontId="3" fillId="5" borderId="1" xfId="0" applyFont="1" applyFill="1" applyBorder="1"/>
    <xf numFmtId="49" fontId="3" fillId="0" borderId="9" xfId="0" applyNumberFormat="1" applyFont="1" applyBorder="1"/>
    <xf numFmtId="1" fontId="3" fillId="0" borderId="0" xfId="0" applyNumberFormat="1" applyFont="1" applyBorder="1"/>
    <xf numFmtId="1" fontId="3" fillId="2" borderId="0" xfId="0" applyNumberFormat="1" applyFont="1" applyFill="1" applyBorder="1"/>
    <xf numFmtId="1" fontId="5" fillId="2" borderId="0" xfId="0" applyNumberFormat="1" applyFont="1" applyFill="1" applyBorder="1"/>
    <xf numFmtId="0" fontId="9" fillId="0" borderId="0" xfId="0" applyFont="1" applyBorder="1"/>
    <xf numFmtId="1" fontId="9" fillId="0" borderId="0" xfId="0" applyNumberFormat="1" applyFont="1" applyBorder="1"/>
    <xf numFmtId="1" fontId="9" fillId="2" borderId="0" xfId="0" applyNumberFormat="1" applyFont="1" applyFill="1" applyBorder="1"/>
    <xf numFmtId="1" fontId="10" fillId="2" borderId="0" xfId="0" applyNumberFormat="1" applyFont="1" applyFill="1" applyBorder="1"/>
    <xf numFmtId="49" fontId="3" fillId="5" borderId="4" xfId="0" applyNumberFormat="1" applyFont="1" applyFill="1" applyBorder="1"/>
    <xf numFmtId="0" fontId="3" fillId="5" borderId="5" xfId="0" applyFont="1" applyFill="1" applyBorder="1"/>
    <xf numFmtId="1" fontId="3" fillId="5" borderId="5" xfId="0" applyNumberFormat="1" applyFont="1" applyFill="1" applyBorder="1"/>
    <xf numFmtId="1" fontId="3" fillId="5" borderId="8" xfId="0" applyNumberFormat="1" applyFont="1" applyFill="1" applyBorder="1"/>
    <xf numFmtId="1" fontId="5" fillId="5" borderId="3" xfId="0" applyNumberFormat="1" applyFont="1" applyFill="1" applyBorder="1"/>
    <xf numFmtId="1" fontId="5" fillId="5" borderId="6" xfId="0" applyNumberFormat="1" applyFont="1" applyFill="1" applyBorder="1"/>
    <xf numFmtId="1" fontId="6" fillId="2" borderId="5" xfId="0" applyNumberFormat="1" applyFont="1" applyFill="1" applyBorder="1"/>
    <xf numFmtId="2" fontId="6" fillId="4" borderId="1" xfId="0" applyNumberFormat="1" applyFont="1" applyFill="1" applyBorder="1"/>
    <xf numFmtId="0" fontId="5" fillId="4" borderId="2" xfId="0" applyFont="1" applyFill="1" applyBorder="1" applyAlignment="1">
      <alignment horizontal="center"/>
    </xf>
    <xf numFmtId="0" fontId="4" fillId="4" borderId="5" xfId="0" applyFont="1" applyFill="1" applyBorder="1"/>
    <xf numFmtId="1" fontId="6" fillId="4" borderId="5" xfId="0" applyNumberFormat="1" applyFont="1" applyFill="1" applyBorder="1"/>
    <xf numFmtId="1" fontId="6" fillId="0" borderId="5" xfId="0" applyNumberFormat="1" applyFont="1" applyBorder="1"/>
    <xf numFmtId="0" fontId="3" fillId="0" borderId="0" xfId="0" applyFont="1" applyFill="1"/>
    <xf numFmtId="0" fontId="5" fillId="4" borderId="1" xfId="0" applyFont="1" applyFill="1" applyBorder="1" applyAlignment="1">
      <alignment horizontal="center"/>
    </xf>
    <xf numFmtId="49" fontId="3" fillId="2" borderId="4" xfId="0" applyNumberFormat="1" applyFont="1" applyFill="1" applyBorder="1"/>
    <xf numFmtId="1" fontId="5" fillId="4" borderId="6" xfId="0" applyNumberFormat="1" applyFont="1" applyFill="1" applyBorder="1"/>
    <xf numFmtId="1" fontId="4" fillId="2" borderId="8" xfId="0" applyNumberFormat="1" applyFont="1" applyFill="1" applyBorder="1"/>
    <xf numFmtId="1" fontId="4" fillId="0" borderId="0" xfId="0" applyNumberFormat="1" applyFont="1"/>
    <xf numFmtId="1" fontId="6" fillId="5" borderId="5" xfId="0" applyNumberFormat="1" applyFont="1" applyFill="1" applyBorder="1"/>
    <xf numFmtId="2" fontId="4" fillId="4" borderId="6" xfId="0" applyNumberFormat="1" applyFont="1" applyFill="1" applyBorder="1"/>
    <xf numFmtId="1" fontId="4" fillId="2" borderId="12" xfId="0" applyNumberFormat="1" applyFont="1" applyFill="1" applyBorder="1"/>
    <xf numFmtId="49" fontId="4" fillId="0" borderId="4" xfId="0" applyNumberFormat="1" applyFont="1" applyBorder="1"/>
    <xf numFmtId="0" fontId="4" fillId="0" borderId="5" xfId="0" applyFont="1" applyBorder="1"/>
    <xf numFmtId="1" fontId="4" fillId="0" borderId="13" xfId="0" applyNumberFormat="1" applyFont="1" applyBorder="1"/>
    <xf numFmtId="1" fontId="4" fillId="2" borderId="0" xfId="0" applyNumberFormat="1" applyFont="1" applyFill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2" borderId="16" xfId="0" applyFont="1" applyFill="1" applyBorder="1"/>
    <xf numFmtId="49" fontId="3" fillId="4" borderId="17" xfId="0" applyNumberFormat="1" applyFont="1" applyFill="1" applyBorder="1"/>
    <xf numFmtId="1" fontId="3" fillId="4" borderId="18" xfId="0" applyNumberFormat="1" applyFont="1" applyFill="1" applyBorder="1"/>
    <xf numFmtId="49" fontId="3" fillId="0" borderId="17" xfId="0" applyNumberFormat="1" applyFont="1" applyBorder="1"/>
    <xf numFmtId="1" fontId="3" fillId="2" borderId="18" xfId="0" applyNumberFormat="1" applyFont="1" applyFill="1" applyBorder="1"/>
    <xf numFmtId="1" fontId="4" fillId="2" borderId="18" xfId="0" applyNumberFormat="1" applyFont="1" applyFill="1" applyBorder="1"/>
    <xf numFmtId="49" fontId="3" fillId="0" borderId="19" xfId="0" applyNumberFormat="1" applyFont="1" applyBorder="1"/>
    <xf numFmtId="1" fontId="3" fillId="2" borderId="20" xfId="0" applyNumberFormat="1" applyFont="1" applyFill="1" applyBorder="1"/>
    <xf numFmtId="49" fontId="3" fillId="0" borderId="21" xfId="0" applyNumberFormat="1" applyFont="1" applyBorder="1"/>
    <xf numFmtId="1" fontId="3" fillId="2" borderId="22" xfId="0" applyNumberFormat="1" applyFont="1" applyFill="1" applyBorder="1"/>
    <xf numFmtId="49" fontId="3" fillId="0" borderId="23" xfId="0" applyNumberFormat="1" applyFont="1" applyBorder="1"/>
    <xf numFmtId="0" fontId="3" fillId="0" borderId="24" xfId="0" applyFont="1" applyBorder="1"/>
    <xf numFmtId="1" fontId="4" fillId="4" borderId="24" xfId="0" applyNumberFormat="1" applyFont="1" applyFill="1" applyBorder="1"/>
    <xf numFmtId="1" fontId="4" fillId="0" borderId="24" xfId="0" applyNumberFormat="1" applyFont="1" applyBorder="1"/>
    <xf numFmtId="1" fontId="3" fillId="0" borderId="24" xfId="0" applyNumberFormat="1" applyFont="1" applyBorder="1"/>
    <xf numFmtId="1" fontId="5" fillId="4" borderId="24" xfId="0" applyNumberFormat="1" applyFont="1" applyFill="1" applyBorder="1"/>
    <xf numFmtId="1" fontId="3" fillId="2" borderId="24" xfId="0" applyNumberFormat="1" applyFont="1" applyFill="1" applyBorder="1"/>
    <xf numFmtId="1" fontId="5" fillId="2" borderId="24" xfId="0" applyNumberFormat="1" applyFont="1" applyFill="1" applyBorder="1"/>
    <xf numFmtId="1" fontId="3" fillId="2" borderId="25" xfId="0" applyNumberFormat="1" applyFont="1" applyFill="1" applyBorder="1"/>
    <xf numFmtId="1" fontId="3" fillId="2" borderId="6" xfId="0" applyNumberFormat="1" applyFont="1" applyFill="1" applyBorder="1"/>
    <xf numFmtId="0" fontId="3" fillId="4" borderId="24" xfId="0" applyFont="1" applyFill="1" applyBorder="1"/>
    <xf numFmtId="2" fontId="6" fillId="4" borderId="24" xfId="0" applyNumberFormat="1" applyFont="1" applyFill="1" applyBorder="1"/>
    <xf numFmtId="49" fontId="4" fillId="4" borderId="4" xfId="0" applyNumberFormat="1" applyFont="1" applyFill="1" applyBorder="1"/>
    <xf numFmtId="1" fontId="4" fillId="4" borderId="8" xfId="0" applyNumberFormat="1" applyFont="1" applyFill="1" applyBorder="1"/>
    <xf numFmtId="0" fontId="3" fillId="0" borderId="16" xfId="0" applyFont="1" applyBorder="1"/>
    <xf numFmtId="1" fontId="3" fillId="0" borderId="18" xfId="0" applyNumberFormat="1" applyFont="1" applyBorder="1"/>
    <xf numFmtId="1" fontId="4" fillId="0" borderId="18" xfId="0" applyNumberFormat="1" applyFont="1" applyBorder="1"/>
    <xf numFmtId="1" fontId="3" fillId="0" borderId="20" xfId="0" applyNumberFormat="1" applyFont="1" applyBorder="1"/>
    <xf numFmtId="1" fontId="3" fillId="0" borderId="22" xfId="0" applyNumberFormat="1" applyFont="1" applyBorder="1"/>
    <xf numFmtId="2" fontId="3" fillId="4" borderId="24" xfId="0" applyNumberFormat="1" applyFont="1" applyFill="1" applyBorder="1"/>
    <xf numFmtId="1" fontId="3" fillId="0" borderId="25" xfId="0" applyNumberFormat="1" applyFont="1" applyBorder="1"/>
    <xf numFmtId="1" fontId="4" fillId="0" borderId="8" xfId="0" applyNumberFormat="1" applyFont="1" applyBorder="1"/>
    <xf numFmtId="0" fontId="4" fillId="0" borderId="0" xfId="0" applyFont="1"/>
    <xf numFmtId="0" fontId="3" fillId="0" borderId="23" xfId="0" applyFont="1" applyBorder="1"/>
    <xf numFmtId="1" fontId="4" fillId="3" borderId="5" xfId="0" applyNumberFormat="1" applyFont="1" applyFill="1" applyBorder="1"/>
    <xf numFmtId="0" fontId="3" fillId="3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" fontId="3" fillId="3" borderId="24" xfId="0" applyNumberFormat="1" applyFont="1" applyFill="1" applyBorder="1"/>
    <xf numFmtId="0" fontId="3" fillId="0" borderId="27" xfId="0" applyFont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3" fillId="0" borderId="28" xfId="0" applyFont="1" applyBorder="1"/>
    <xf numFmtId="49" fontId="4" fillId="0" borderId="29" xfId="0" applyNumberFormat="1" applyFont="1" applyBorder="1"/>
    <xf numFmtId="0" fontId="4" fillId="0" borderId="4" xfId="0" applyFont="1" applyBorder="1"/>
    <xf numFmtId="0" fontId="3" fillId="2" borderId="14" xfId="0" applyFont="1" applyFill="1" applyBorder="1"/>
    <xf numFmtId="49" fontId="3" fillId="2" borderId="17" xfId="0" applyNumberFormat="1" applyFont="1" applyFill="1" applyBorder="1"/>
    <xf numFmtId="49" fontId="3" fillId="2" borderId="19" xfId="0" applyNumberFormat="1" applyFont="1" applyFill="1" applyBorder="1"/>
    <xf numFmtId="49" fontId="3" fillId="2" borderId="21" xfId="0" applyNumberFormat="1" applyFont="1" applyFill="1" applyBorder="1"/>
    <xf numFmtId="49" fontId="3" fillId="2" borderId="23" xfId="0" applyNumberFormat="1" applyFont="1" applyFill="1" applyBorder="1"/>
    <xf numFmtId="0" fontId="3" fillId="2" borderId="24" xfId="0" applyFont="1" applyFill="1" applyBorder="1"/>
    <xf numFmtId="1" fontId="4" fillId="2" borderId="24" xfId="0" applyNumberFormat="1" applyFont="1" applyFill="1" applyBorder="1"/>
    <xf numFmtId="49" fontId="3" fillId="0" borderId="14" xfId="0" applyNumberFormat="1" applyFont="1" applyBorder="1"/>
    <xf numFmtId="1" fontId="4" fillId="3" borderId="24" xfId="0" applyNumberFormat="1" applyFont="1" applyFill="1" applyBorder="1"/>
    <xf numFmtId="0" fontId="3" fillId="5" borderId="15" xfId="0" applyFont="1" applyFill="1" applyBorder="1" applyAlignment="1">
      <alignment horizontal="center"/>
    </xf>
    <xf numFmtId="1" fontId="3" fillId="5" borderId="18" xfId="0" applyNumberFormat="1" applyFont="1" applyFill="1" applyBorder="1"/>
    <xf numFmtId="0" fontId="3" fillId="0" borderId="30" xfId="0" applyFont="1" applyBorder="1"/>
    <xf numFmtId="1" fontId="5" fillId="5" borderId="24" xfId="0" applyNumberFormat="1" applyFont="1" applyFill="1" applyBorder="1"/>
    <xf numFmtId="0" fontId="4" fillId="3" borderId="15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7" xfId="0" applyFont="1" applyBorder="1"/>
    <xf numFmtId="16" fontId="3" fillId="0" borderId="17" xfId="0" applyNumberFormat="1" applyFont="1" applyBorder="1"/>
    <xf numFmtId="0" fontId="3" fillId="0" borderId="19" xfId="0" applyFont="1" applyBorder="1"/>
    <xf numFmtId="16" fontId="3" fillId="0" borderId="21" xfId="0" applyNumberFormat="1" applyFont="1" applyBorder="1"/>
    <xf numFmtId="2" fontId="12" fillId="4" borderId="1" xfId="0" applyNumberFormat="1" applyFont="1" applyFill="1" applyBorder="1"/>
    <xf numFmtId="2" fontId="12" fillId="4" borderId="2" xfId="0" applyNumberFormat="1" applyFont="1" applyFill="1" applyBorder="1"/>
    <xf numFmtId="2" fontId="12" fillId="4" borderId="3" xfId="0" applyNumberFormat="1" applyFont="1" applyFill="1" applyBorder="1"/>
    <xf numFmtId="0" fontId="12" fillId="4" borderId="15" xfId="0" applyFont="1" applyFill="1" applyBorder="1" applyAlignment="1">
      <alignment horizontal="center"/>
    </xf>
    <xf numFmtId="1" fontId="12" fillId="4" borderId="1" xfId="0" applyNumberFormat="1" applyFont="1" applyFill="1" applyBorder="1"/>
    <xf numFmtId="2" fontId="12" fillId="4" borderId="5" xfId="0" applyNumberFormat="1" applyFont="1" applyFill="1" applyBorder="1"/>
    <xf numFmtId="2" fontId="12" fillId="4" borderId="6" xfId="0" applyNumberFormat="1" applyFont="1" applyFill="1" applyBorder="1"/>
    <xf numFmtId="1" fontId="12" fillId="4" borderId="24" xfId="0" applyNumberFormat="1" applyFont="1" applyFill="1" applyBorder="1"/>
    <xf numFmtId="0" fontId="13" fillId="0" borderId="0" xfId="0" applyFont="1"/>
    <xf numFmtId="2" fontId="4" fillId="0" borderId="5" xfId="0" applyNumberFormat="1" applyFont="1" applyBorder="1"/>
    <xf numFmtId="2" fontId="4" fillId="2" borderId="5" xfId="0" applyNumberFormat="1" applyFont="1" applyFill="1" applyBorder="1"/>
    <xf numFmtId="0" fontId="3" fillId="6" borderId="27" xfId="0" applyFont="1" applyFill="1" applyBorder="1" applyAlignment="1">
      <alignment horizontal="center"/>
    </xf>
    <xf numFmtId="1" fontId="5" fillId="6" borderId="5" xfId="0" applyNumberFormat="1" applyFont="1" applyFill="1" applyBorder="1"/>
    <xf numFmtId="2" fontId="4" fillId="6" borderId="3" xfId="0" applyNumberFormat="1" applyFont="1" applyFill="1" applyBorder="1"/>
    <xf numFmtId="2" fontId="4" fillId="6" borderId="1" xfId="0" applyNumberFormat="1" applyFont="1" applyFill="1" applyBorder="1"/>
    <xf numFmtId="2" fontId="4" fillId="6" borderId="2" xfId="0" applyNumberFormat="1" applyFont="1" applyFill="1" applyBorder="1"/>
    <xf numFmtId="2" fontId="4" fillId="6" borderId="5" xfId="0" applyNumberFormat="1" applyFont="1" applyFill="1" applyBorder="1"/>
    <xf numFmtId="2" fontId="4" fillId="6" borderId="24" xfId="0" applyNumberFormat="1" applyFont="1" applyFill="1" applyBorder="1"/>
    <xf numFmtId="1" fontId="5" fillId="6" borderId="1" xfId="0" applyNumberFormat="1" applyFont="1" applyFill="1" applyBorder="1"/>
    <xf numFmtId="2" fontId="6" fillId="6" borderId="24" xfId="0" applyNumberFormat="1" applyFont="1" applyFill="1" applyBorder="1"/>
    <xf numFmtId="0" fontId="11" fillId="6" borderId="15" xfId="0" applyFont="1" applyFill="1" applyBorder="1" applyAlignment="1">
      <alignment horizontal="center"/>
    </xf>
    <xf numFmtId="1" fontId="11" fillId="6" borderId="1" xfId="0" applyNumberFormat="1" applyFont="1" applyFill="1" applyBorder="1"/>
    <xf numFmtId="2" fontId="12" fillId="6" borderId="1" xfId="0" applyNumberFormat="1" applyFont="1" applyFill="1" applyBorder="1"/>
    <xf numFmtId="2" fontId="12" fillId="6" borderId="2" xfId="0" applyNumberFormat="1" applyFont="1" applyFill="1" applyBorder="1"/>
    <xf numFmtId="1" fontId="12" fillId="6" borderId="5" xfId="0" applyNumberFormat="1" applyFont="1" applyFill="1" applyBorder="1"/>
    <xf numFmtId="2" fontId="12" fillId="6" borderId="3" xfId="0" applyNumberFormat="1" applyFont="1" applyFill="1" applyBorder="1"/>
    <xf numFmtId="2" fontId="12" fillId="6" borderId="24" xfId="0" applyNumberFormat="1" applyFont="1" applyFill="1" applyBorder="1"/>
    <xf numFmtId="0" fontId="4" fillId="6" borderId="15" xfId="0" applyFont="1" applyFill="1" applyBorder="1" applyAlignment="1">
      <alignment horizontal="center"/>
    </xf>
    <xf numFmtId="1" fontId="4" fillId="2" borderId="3" xfId="0" applyNumberFormat="1" applyFont="1" applyFill="1" applyBorder="1"/>
    <xf numFmtId="1" fontId="4" fillId="0" borderId="3" xfId="0" applyNumberFormat="1" applyFont="1" applyBorder="1"/>
    <xf numFmtId="1" fontId="3" fillId="3" borderId="2" xfId="0" applyNumberFormat="1" applyFont="1" applyFill="1" applyBorder="1"/>
    <xf numFmtId="1" fontId="3" fillId="3" borderId="3" xfId="0" applyNumberFormat="1" applyFont="1" applyFill="1" applyBorder="1"/>
    <xf numFmtId="1" fontId="4" fillId="3" borderId="3" xfId="0" applyNumberFormat="1" applyFont="1" applyFill="1" applyBorder="1"/>
    <xf numFmtId="1" fontId="3" fillId="5" borderId="2" xfId="0" applyNumberFormat="1" applyFont="1" applyFill="1" applyBorder="1"/>
    <xf numFmtId="1" fontId="3" fillId="5" borderId="3" xfId="0" applyNumberFormat="1" applyFont="1" applyFill="1" applyBorder="1"/>
    <xf numFmtId="1" fontId="4" fillId="5" borderId="5" xfId="0" applyNumberFormat="1" applyFont="1" applyFill="1" applyBorder="1"/>
    <xf numFmtId="2" fontId="4" fillId="0" borderId="3" xfId="0" applyNumberFormat="1" applyFont="1" applyBorder="1"/>
    <xf numFmtId="164" fontId="4" fillId="0" borderId="3" xfId="0" applyNumberFormat="1" applyFont="1" applyBorder="1"/>
    <xf numFmtId="2" fontId="12" fillId="6" borderId="5" xfId="0" applyNumberFormat="1" applyFont="1" applyFill="1" applyBorder="1"/>
    <xf numFmtId="2" fontId="3" fillId="4" borderId="2" xfId="0" applyNumberFormat="1" applyFont="1" applyFill="1" applyBorder="1"/>
    <xf numFmtId="2" fontId="3" fillId="4" borderId="3" xfId="0" applyNumberFormat="1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11" fillId="6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4" borderId="5" xfId="0" applyFont="1" applyFill="1" applyBorder="1"/>
    <xf numFmtId="1" fontId="11" fillId="6" borderId="5" xfId="0" applyNumberFormat="1" applyFont="1" applyFill="1" applyBorder="1"/>
    <xf numFmtId="0" fontId="3" fillId="2" borderId="21" xfId="0" applyFont="1" applyFill="1" applyBorder="1"/>
    <xf numFmtId="0" fontId="3" fillId="2" borderId="17" xfId="0" applyFont="1" applyFill="1" applyBorder="1"/>
    <xf numFmtId="0" fontId="3" fillId="2" borderId="19" xfId="0" applyFont="1" applyFill="1" applyBorder="1"/>
    <xf numFmtId="16" fontId="3" fillId="2" borderId="4" xfId="0" applyNumberFormat="1" applyFont="1" applyFill="1" applyBorder="1"/>
    <xf numFmtId="16" fontId="3" fillId="2" borderId="21" xfId="0" applyNumberFormat="1" applyFont="1" applyFill="1" applyBorder="1"/>
    <xf numFmtId="16" fontId="3" fillId="2" borderId="19" xfId="0" applyNumberFormat="1" applyFont="1" applyFill="1" applyBorder="1"/>
    <xf numFmtId="0" fontId="3" fillId="2" borderId="4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1" fontId="12" fillId="6" borderId="3" xfId="0" applyNumberFormat="1" applyFont="1" applyFill="1" applyBorder="1"/>
    <xf numFmtId="1" fontId="12" fillId="6" borderId="1" xfId="0" applyNumberFormat="1" applyFont="1" applyFill="1" applyBorder="1"/>
    <xf numFmtId="0" fontId="3" fillId="2" borderId="23" xfId="0" applyFont="1" applyFill="1" applyBorder="1"/>
    <xf numFmtId="0" fontId="11" fillId="6" borderId="24" xfId="0" applyFont="1" applyFill="1" applyBorder="1"/>
    <xf numFmtId="0" fontId="12" fillId="6" borderId="15" xfId="0" applyFont="1" applyFill="1" applyBorder="1" applyAlignment="1">
      <alignment horizontal="center"/>
    </xf>
    <xf numFmtId="0" fontId="3" fillId="2" borderId="0" xfId="0" applyFont="1" applyFill="1" applyBorder="1"/>
    <xf numFmtId="16" fontId="3" fillId="2" borderId="17" xfId="0" applyNumberFormat="1" applyFont="1" applyFill="1" applyBorder="1"/>
    <xf numFmtId="1" fontId="4" fillId="2" borderId="0" xfId="0" applyNumberFormat="1" applyFont="1" applyFill="1" applyBorder="1"/>
    <xf numFmtId="0" fontId="4" fillId="6" borderId="27" xfId="0" applyFont="1" applyFill="1" applyBorder="1" applyAlignment="1">
      <alignment horizontal="center"/>
    </xf>
    <xf numFmtId="1" fontId="6" fillId="6" borderId="5" xfId="0" applyNumberFormat="1" applyFont="1" applyFill="1" applyBorder="1"/>
    <xf numFmtId="1" fontId="3" fillId="4" borderId="32" xfId="0" applyNumberFormat="1" applyFont="1" applyFill="1" applyBorder="1"/>
    <xf numFmtId="1" fontId="3" fillId="2" borderId="33" xfId="0" applyNumberFormat="1" applyFont="1" applyFill="1" applyBorder="1"/>
    <xf numFmtId="0" fontId="3" fillId="6" borderId="15" xfId="0" applyFont="1" applyFill="1" applyBorder="1" applyAlignment="1">
      <alignment horizontal="center"/>
    </xf>
    <xf numFmtId="1" fontId="4" fillId="6" borderId="2" xfId="0" applyNumberFormat="1" applyFont="1" applyFill="1" applyBorder="1"/>
    <xf numFmtId="1" fontId="4" fillId="6" borderId="5" xfId="0" applyNumberFormat="1" applyFont="1" applyFill="1" applyBorder="1"/>
    <xf numFmtId="1" fontId="4" fillId="6" borderId="3" xfId="0" applyNumberFormat="1" applyFont="1" applyFill="1" applyBorder="1"/>
    <xf numFmtId="1" fontId="4" fillId="6" borderId="1" xfId="0" applyNumberFormat="1" applyFont="1" applyFill="1" applyBorder="1"/>
    <xf numFmtId="1" fontId="4" fillId="6" borderId="24" xfId="0" applyNumberFormat="1" applyFont="1" applyFill="1" applyBorder="1"/>
    <xf numFmtId="49" fontId="3" fillId="0" borderId="0" xfId="0" applyNumberFormat="1" applyFont="1" applyBorder="1"/>
    <xf numFmtId="0" fontId="3" fillId="0" borderId="34" xfId="0" applyFont="1" applyBorder="1"/>
    <xf numFmtId="1" fontId="3" fillId="4" borderId="6" xfId="0" applyNumberFormat="1" applyFont="1" applyFill="1" applyBorder="1"/>
    <xf numFmtId="1" fontId="3" fillId="0" borderId="35" xfId="0" applyNumberFormat="1" applyFont="1" applyBorder="1"/>
    <xf numFmtId="2" fontId="4" fillId="7" borderId="1" xfId="0" applyNumberFormat="1" applyFont="1" applyFill="1" applyBorder="1"/>
    <xf numFmtId="2" fontId="4" fillId="7" borderId="2" xfId="0" applyNumberFormat="1" applyFont="1" applyFill="1" applyBorder="1"/>
    <xf numFmtId="2" fontId="4" fillId="7" borderId="5" xfId="0" applyNumberFormat="1" applyFont="1" applyFill="1" applyBorder="1"/>
    <xf numFmtId="2" fontId="4" fillId="7" borderId="3" xfId="0" applyNumberFormat="1" applyFont="1" applyFill="1" applyBorder="1"/>
    <xf numFmtId="2" fontId="4" fillId="7" borderId="6" xfId="0" applyNumberFormat="1" applyFont="1" applyFill="1" applyBorder="1"/>
    <xf numFmtId="0" fontId="3" fillId="8" borderId="1" xfId="0" applyFont="1" applyFill="1" applyBorder="1" applyAlignment="1">
      <alignment horizontal="center"/>
    </xf>
    <xf numFmtId="2" fontId="5" fillId="8" borderId="1" xfId="0" applyNumberFormat="1" applyFont="1" applyFill="1" applyBorder="1"/>
    <xf numFmtId="2" fontId="4" fillId="8" borderId="1" xfId="0" applyNumberFormat="1" applyFont="1" applyFill="1" applyBorder="1"/>
    <xf numFmtId="2" fontId="4" fillId="8" borderId="2" xfId="0" applyNumberFormat="1" applyFont="1" applyFill="1" applyBorder="1"/>
    <xf numFmtId="2" fontId="4" fillId="8" borderId="5" xfId="0" applyNumberFormat="1" applyFont="1" applyFill="1" applyBorder="1"/>
    <xf numFmtId="2" fontId="4" fillId="8" borderId="3" xfId="0" applyNumberFormat="1" applyFont="1" applyFill="1" applyBorder="1"/>
    <xf numFmtId="2" fontId="4" fillId="8" borderId="6" xfId="0" applyNumberFormat="1" applyFont="1" applyFill="1" applyBorder="1"/>
    <xf numFmtId="2" fontId="3" fillId="8" borderId="1" xfId="0" applyNumberFormat="1" applyFont="1" applyFill="1" applyBorder="1"/>
    <xf numFmtId="1" fontId="3" fillId="8" borderId="1" xfId="0" applyNumberFormat="1" applyFont="1" applyFill="1" applyBorder="1"/>
    <xf numFmtId="0" fontId="3" fillId="8" borderId="15" xfId="0" applyFont="1" applyFill="1" applyBorder="1" applyAlignment="1">
      <alignment horizontal="center"/>
    </xf>
    <xf numFmtId="1" fontId="5" fillId="8" borderId="1" xfId="0" applyNumberFormat="1" applyFont="1" applyFill="1" applyBorder="1"/>
    <xf numFmtId="1" fontId="4" fillId="8" borderId="1" xfId="0" applyNumberFormat="1" applyFont="1" applyFill="1" applyBorder="1"/>
    <xf numFmtId="1" fontId="4" fillId="8" borderId="24" xfId="0" applyNumberFormat="1" applyFont="1" applyFill="1" applyBorder="1"/>
    <xf numFmtId="0" fontId="3" fillId="8" borderId="2" xfId="0" applyFont="1" applyFill="1" applyBorder="1" applyAlignment="1">
      <alignment horizontal="center"/>
    </xf>
    <xf numFmtId="1" fontId="5" fillId="8" borderId="5" xfId="0" applyNumberFormat="1" applyFont="1" applyFill="1" applyBorder="1"/>
    <xf numFmtId="0" fontId="3" fillId="8" borderId="27" xfId="0" applyFont="1" applyFill="1" applyBorder="1" applyAlignment="1">
      <alignment horizontal="center"/>
    </xf>
    <xf numFmtId="2" fontId="4" fillId="8" borderId="24" xfId="0" applyNumberFormat="1" applyFont="1" applyFill="1" applyBorder="1"/>
    <xf numFmtId="1" fontId="3" fillId="8" borderId="2" xfId="0" applyNumberFormat="1" applyFont="1" applyFill="1" applyBorder="1"/>
    <xf numFmtId="1" fontId="4" fillId="8" borderId="5" xfId="0" applyNumberFormat="1" applyFont="1" applyFill="1" applyBorder="1"/>
    <xf numFmtId="1" fontId="3" fillId="8" borderId="3" xfId="0" applyNumberFormat="1" applyFont="1" applyFill="1" applyBorder="1"/>
    <xf numFmtId="1" fontId="3" fillId="8" borderId="24" xfId="0" applyNumberFormat="1" applyFont="1" applyFill="1" applyBorder="1"/>
    <xf numFmtId="2" fontId="4" fillId="6" borderId="6" xfId="0" applyNumberFormat="1" applyFont="1" applyFill="1" applyBorder="1"/>
    <xf numFmtId="0" fontId="4" fillId="7" borderId="15" xfId="0" applyFont="1" applyFill="1" applyBorder="1" applyAlignment="1">
      <alignment horizontal="center"/>
    </xf>
    <xf numFmtId="1" fontId="6" fillId="7" borderId="1" xfId="0" applyNumberFormat="1" applyFont="1" applyFill="1" applyBorder="1"/>
    <xf numFmtId="1" fontId="4" fillId="7" borderId="1" xfId="0" applyNumberFormat="1" applyFont="1" applyFill="1" applyBorder="1"/>
    <xf numFmtId="1" fontId="4" fillId="7" borderId="24" xfId="0" applyNumberFormat="1" applyFont="1" applyFill="1" applyBorder="1"/>
    <xf numFmtId="0" fontId="12" fillId="7" borderId="15" xfId="0" applyFont="1" applyFill="1" applyBorder="1" applyAlignment="1">
      <alignment horizontal="center"/>
    </xf>
    <xf numFmtId="1" fontId="12" fillId="7" borderId="1" xfId="0" applyNumberFormat="1" applyFont="1" applyFill="1" applyBorder="1"/>
    <xf numFmtId="2" fontId="12" fillId="7" borderId="1" xfId="0" applyNumberFormat="1" applyFont="1" applyFill="1" applyBorder="1"/>
    <xf numFmtId="2" fontId="12" fillId="7" borderId="2" xfId="0" applyNumberFormat="1" applyFont="1" applyFill="1" applyBorder="1"/>
    <xf numFmtId="2" fontId="12" fillId="7" borderId="5" xfId="0" applyNumberFormat="1" applyFont="1" applyFill="1" applyBorder="1"/>
    <xf numFmtId="2" fontId="12" fillId="7" borderId="3" xfId="0" applyNumberFormat="1" applyFont="1" applyFill="1" applyBorder="1"/>
    <xf numFmtId="0" fontId="3" fillId="7" borderId="15" xfId="0" applyFont="1" applyFill="1" applyBorder="1" applyAlignment="1">
      <alignment horizontal="center"/>
    </xf>
    <xf numFmtId="0" fontId="3" fillId="7" borderId="24" xfId="0" applyFont="1" applyFill="1" applyBorder="1"/>
    <xf numFmtId="1" fontId="4" fillId="9" borderId="24" xfId="0" applyNumberFormat="1" applyFont="1" applyFill="1" applyBorder="1"/>
    <xf numFmtId="0" fontId="11" fillId="3" borderId="15" xfId="0" applyFont="1" applyFill="1" applyBorder="1" applyAlignment="1">
      <alignment horizontal="center"/>
    </xf>
    <xf numFmtId="1" fontId="11" fillId="4" borderId="1" xfId="0" applyNumberFormat="1" applyFont="1" applyFill="1" applyBorder="1"/>
    <xf numFmtId="2" fontId="12" fillId="3" borderId="1" xfId="0" applyNumberFormat="1" applyFont="1" applyFill="1" applyBorder="1"/>
    <xf numFmtId="2" fontId="12" fillId="3" borderId="2" xfId="0" applyNumberFormat="1" applyFont="1" applyFill="1" applyBorder="1"/>
    <xf numFmtId="1" fontId="12" fillId="3" borderId="5" xfId="0" applyNumberFormat="1" applyFont="1" applyFill="1" applyBorder="1"/>
    <xf numFmtId="1" fontId="12" fillId="3" borderId="3" xfId="0" applyNumberFormat="1" applyFont="1" applyFill="1" applyBorder="1"/>
    <xf numFmtId="1" fontId="12" fillId="3" borderId="1" xfId="0" applyNumberFormat="1" applyFont="1" applyFill="1" applyBorder="1"/>
    <xf numFmtId="2" fontId="12" fillId="3" borderId="5" xfId="0" applyNumberFormat="1" applyFont="1" applyFill="1" applyBorder="1"/>
    <xf numFmtId="2" fontId="12" fillId="3" borderId="3" xfId="0" applyNumberFormat="1" applyFont="1" applyFill="1" applyBorder="1"/>
    <xf numFmtId="1" fontId="12" fillId="3" borderId="24" xfId="0" applyNumberFormat="1" applyFont="1" applyFill="1" applyBorder="1"/>
    <xf numFmtId="49" fontId="3" fillId="0" borderId="31" xfId="0" applyNumberFormat="1" applyFont="1" applyBorder="1"/>
    <xf numFmtId="0" fontId="3" fillId="0" borderId="32" xfId="0" applyFont="1" applyBorder="1"/>
    <xf numFmtId="1" fontId="4" fillId="3" borderId="32" xfId="0" applyNumberFormat="1" applyFont="1" applyFill="1" applyBorder="1"/>
    <xf numFmtId="1" fontId="3" fillId="0" borderId="32" xfId="0" applyNumberFormat="1" applyFont="1" applyBorder="1"/>
    <xf numFmtId="1" fontId="12" fillId="3" borderId="32" xfId="0" applyNumberFormat="1" applyFont="1" applyFill="1" applyBorder="1"/>
    <xf numFmtId="1" fontId="5" fillId="4" borderId="32" xfId="0" applyNumberFormat="1" applyFont="1" applyFill="1" applyBorder="1"/>
    <xf numFmtId="1" fontId="3" fillId="2" borderId="32" xfId="0" applyNumberFormat="1" applyFont="1" applyFill="1" applyBorder="1"/>
    <xf numFmtId="2" fontId="4" fillId="6" borderId="10" xfId="0" applyNumberFormat="1" applyFont="1" applyFill="1" applyBorder="1"/>
    <xf numFmtId="0" fontId="3" fillId="0" borderId="36" xfId="0" applyFont="1" applyBorder="1" applyAlignment="1">
      <alignment horizontal="center"/>
    </xf>
    <xf numFmtId="0" fontId="3" fillId="4" borderId="10" xfId="0" applyFont="1" applyFill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13" xfId="0" applyFont="1" applyBorder="1"/>
    <xf numFmtId="0" fontId="3" fillId="0" borderId="40" xfId="0" applyFont="1" applyBorder="1"/>
    <xf numFmtId="49" fontId="3" fillId="0" borderId="41" xfId="0" applyNumberFormat="1" applyFont="1" applyBorder="1"/>
    <xf numFmtId="49" fontId="3" fillId="0" borderId="42" xfId="0" applyNumberFormat="1" applyFont="1" applyBorder="1"/>
    <xf numFmtId="49" fontId="3" fillId="0" borderId="43" xfId="0" applyNumberFormat="1" applyFont="1" applyBorder="1"/>
    <xf numFmtId="49" fontId="3" fillId="0" borderId="44" xfId="0" applyNumberFormat="1" applyFont="1" applyBorder="1"/>
    <xf numFmtId="2" fontId="4" fillId="2" borderId="2" xfId="0" applyNumberFormat="1" applyFont="1" applyFill="1" applyBorder="1"/>
    <xf numFmtId="0" fontId="4" fillId="10" borderId="15" xfId="0" applyFont="1" applyFill="1" applyBorder="1" applyAlignment="1">
      <alignment horizontal="center"/>
    </xf>
    <xf numFmtId="1" fontId="6" fillId="10" borderId="1" xfId="0" applyNumberFormat="1" applyFont="1" applyFill="1" applyBorder="1"/>
    <xf numFmtId="2" fontId="4" fillId="10" borderId="1" xfId="0" applyNumberFormat="1" applyFont="1" applyFill="1" applyBorder="1"/>
    <xf numFmtId="2" fontId="4" fillId="10" borderId="2" xfId="0" applyNumberFormat="1" applyFont="1" applyFill="1" applyBorder="1"/>
    <xf numFmtId="2" fontId="4" fillId="10" borderId="5" xfId="0" applyNumberFormat="1" applyFont="1" applyFill="1" applyBorder="1"/>
    <xf numFmtId="2" fontId="4" fillId="10" borderId="3" xfId="0" applyNumberFormat="1" applyFont="1" applyFill="1" applyBorder="1"/>
    <xf numFmtId="1" fontId="6" fillId="10" borderId="24" xfId="0" applyNumberFormat="1" applyFont="1" applyFill="1" applyBorder="1"/>
    <xf numFmtId="2" fontId="4" fillId="0" borderId="1" xfId="0" applyNumberFormat="1" applyFont="1" applyBorder="1"/>
    <xf numFmtId="2" fontId="4" fillId="0" borderId="2" xfId="0" applyNumberFormat="1" applyFont="1" applyBorder="1"/>
    <xf numFmtId="164" fontId="4" fillId="0" borderId="5" xfId="0" applyNumberFormat="1" applyFont="1" applyBorder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zoomScaleNormal="100" workbookViewId="0">
      <selection activeCell="C33" sqref="C33"/>
    </sheetView>
  </sheetViews>
  <sheetFormatPr defaultRowHeight="15"/>
  <cols>
    <col min="1" max="1" width="4.5703125" customWidth="1"/>
    <col min="2" max="2" width="38.42578125" customWidth="1"/>
    <col min="9" max="9" width="9.140625" customWidth="1"/>
    <col min="10" max="10" width="10.28515625" customWidth="1"/>
    <col min="11" max="17" width="9.140625" customWidth="1"/>
    <col min="18" max="18" width="10.28515625" customWidth="1"/>
    <col min="19" max="21" width="9.140625" customWidth="1"/>
  </cols>
  <sheetData>
    <row r="1" spans="1:22" s="13" customForma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R1" s="13" t="s">
        <v>94</v>
      </c>
    </row>
    <row r="2" spans="1:22" s="13" customFormat="1" ht="18.75">
      <c r="A2" s="368" t="s">
        <v>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9"/>
      <c r="N2" s="369"/>
      <c r="O2" s="369"/>
      <c r="R2" s="13" t="s">
        <v>95</v>
      </c>
    </row>
    <row r="3" spans="1:22" s="13" customFormat="1">
      <c r="A3" s="370" t="s">
        <v>107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R3" s="367" t="s">
        <v>138</v>
      </c>
      <c r="S3" s="367"/>
      <c r="T3" s="367"/>
      <c r="U3" s="367"/>
      <c r="V3" s="367"/>
    </row>
    <row r="4" spans="1:22" s="13" customFormat="1" ht="15.75" thickBot="1">
      <c r="B4" s="13" t="s">
        <v>86</v>
      </c>
      <c r="K4" s="13">
        <v>5996</v>
      </c>
    </row>
    <row r="5" spans="1:22" s="13" customFormat="1">
      <c r="A5" s="134"/>
      <c r="B5" s="135" t="s">
        <v>2</v>
      </c>
      <c r="C5" s="139" t="s">
        <v>3</v>
      </c>
      <c r="D5" s="135" t="s">
        <v>4</v>
      </c>
      <c r="E5" s="295" t="s">
        <v>3</v>
      </c>
      <c r="F5" s="135" t="s">
        <v>5</v>
      </c>
      <c r="G5" s="135" t="s">
        <v>6</v>
      </c>
      <c r="H5" s="137" t="s">
        <v>7</v>
      </c>
      <c r="I5" s="135" t="s">
        <v>8</v>
      </c>
      <c r="J5" s="135" t="s">
        <v>9</v>
      </c>
      <c r="K5" s="135" t="s">
        <v>10</v>
      </c>
      <c r="L5" s="139" t="s">
        <v>11</v>
      </c>
      <c r="M5" s="135" t="s">
        <v>54</v>
      </c>
      <c r="N5" s="135" t="s">
        <v>55</v>
      </c>
      <c r="O5" s="135" t="s">
        <v>56</v>
      </c>
      <c r="P5" s="139" t="s">
        <v>57</v>
      </c>
      <c r="Q5" s="138" t="s">
        <v>63</v>
      </c>
      <c r="R5" s="138" t="s">
        <v>64</v>
      </c>
      <c r="S5" s="138" t="s">
        <v>65</v>
      </c>
      <c r="T5" s="138" t="s">
        <v>66</v>
      </c>
      <c r="U5" s="164" t="s">
        <v>71</v>
      </c>
    </row>
    <row r="6" spans="1:22" s="13" customFormat="1" ht="28.5" customHeight="1">
      <c r="A6" s="141" t="s">
        <v>12</v>
      </c>
      <c r="B6" s="19" t="s">
        <v>13</v>
      </c>
      <c r="C6" s="20"/>
      <c r="D6" s="20">
        <f>SUM(D7:D10)</f>
        <v>96835.400000000009</v>
      </c>
      <c r="E6" s="296"/>
      <c r="F6" s="20">
        <f t="shared" ref="F6:T6" si="0">SUM(F7:F10)</f>
        <v>96835.400000000009</v>
      </c>
      <c r="G6" s="20">
        <f t="shared" si="0"/>
        <v>96835.400000000009</v>
      </c>
      <c r="H6" s="20">
        <f t="shared" si="0"/>
        <v>290522.34999999998</v>
      </c>
      <c r="I6" s="20">
        <f t="shared" si="0"/>
        <v>96835.400000000009</v>
      </c>
      <c r="J6" s="20">
        <f t="shared" si="0"/>
        <v>96835.400000000009</v>
      </c>
      <c r="K6" s="20">
        <f t="shared" si="0"/>
        <v>96835.400000000009</v>
      </c>
      <c r="L6" s="20">
        <f t="shared" si="0"/>
        <v>290506.2</v>
      </c>
      <c r="M6" s="20">
        <f t="shared" si="0"/>
        <v>96835.400000000009</v>
      </c>
      <c r="N6" s="20">
        <f t="shared" si="0"/>
        <v>96835.400000000009</v>
      </c>
      <c r="O6" s="20">
        <f t="shared" si="0"/>
        <v>96835.400000000009</v>
      </c>
      <c r="P6" s="20">
        <f t="shared" si="0"/>
        <v>290506.2</v>
      </c>
      <c r="Q6" s="20">
        <f t="shared" si="0"/>
        <v>96835.400000000009</v>
      </c>
      <c r="R6" s="20">
        <f t="shared" si="0"/>
        <v>95716.6</v>
      </c>
      <c r="S6" s="20">
        <f t="shared" si="0"/>
        <v>96835.400000000009</v>
      </c>
      <c r="T6" s="20">
        <f t="shared" si="0"/>
        <v>289387.40000000002</v>
      </c>
      <c r="U6" s="142">
        <f t="shared" ref="U6:U11" si="1">H6+L6+P6+T6</f>
        <v>1160922.1499999999</v>
      </c>
    </row>
    <row r="7" spans="1:22" s="13" customFormat="1">
      <c r="A7" s="143" t="s">
        <v>14</v>
      </c>
      <c r="B7" s="24" t="s">
        <v>15</v>
      </c>
      <c r="C7" s="27">
        <v>11.72</v>
      </c>
      <c r="D7" s="25">
        <f>C7*K4</f>
        <v>70273.12000000001</v>
      </c>
      <c r="E7" s="288">
        <v>11.15</v>
      </c>
      <c r="F7" s="25">
        <f>E7*K4</f>
        <v>66855.400000000009</v>
      </c>
      <c r="G7" s="25">
        <f t="shared" ref="G7" si="2">F7</f>
        <v>66855.400000000009</v>
      </c>
      <c r="H7" s="20">
        <f>SUM(D7:G7)</f>
        <v>203995.07</v>
      </c>
      <c r="I7" s="25">
        <f>G7</f>
        <v>66855.400000000009</v>
      </c>
      <c r="J7" s="25">
        <f t="shared" ref="J7:K7" si="3">I7</f>
        <v>66855.400000000009</v>
      </c>
      <c r="K7" s="25">
        <f t="shared" si="3"/>
        <v>66855.400000000009</v>
      </c>
      <c r="L7" s="22">
        <f>I7+J7+K7</f>
        <v>200566.2</v>
      </c>
      <c r="M7" s="25">
        <f>K7</f>
        <v>66855.400000000009</v>
      </c>
      <c r="N7" s="25">
        <f t="shared" ref="N7:O7" si="4">M7</f>
        <v>66855.400000000009</v>
      </c>
      <c r="O7" s="25">
        <f t="shared" si="4"/>
        <v>66855.400000000009</v>
      </c>
      <c r="P7" s="22">
        <f>SUM(M7:O7)</f>
        <v>200566.2</v>
      </c>
      <c r="Q7" s="28">
        <f>O7</f>
        <v>66855.400000000009</v>
      </c>
      <c r="R7" s="28">
        <f t="shared" ref="R7:S7" si="5">Q7</f>
        <v>66855.400000000009</v>
      </c>
      <c r="S7" s="28">
        <f t="shared" si="5"/>
        <v>66855.400000000009</v>
      </c>
      <c r="T7" s="28">
        <f>SUM(Q7:S7)</f>
        <v>200566.2</v>
      </c>
      <c r="U7" s="165">
        <f t="shared" si="1"/>
        <v>805693.66999999993</v>
      </c>
    </row>
    <row r="8" spans="1:22" s="13" customFormat="1">
      <c r="A8" s="143" t="s">
        <v>16</v>
      </c>
      <c r="B8" s="24" t="s">
        <v>17</v>
      </c>
      <c r="C8" s="27">
        <v>2.57</v>
      </c>
      <c r="D8" s="25">
        <f>C8*K4</f>
        <v>15409.72</v>
      </c>
      <c r="E8" s="288">
        <v>2.8</v>
      </c>
      <c r="F8" s="25">
        <f>E8*K4</f>
        <v>16788.8</v>
      </c>
      <c r="G8" s="25">
        <f>E8*K4</f>
        <v>16788.8</v>
      </c>
      <c r="H8" s="20">
        <f t="shared" ref="H8:H11" si="6">SUM(D8:G8)</f>
        <v>48990.119999999995</v>
      </c>
      <c r="I8" s="25">
        <f>E8*K4</f>
        <v>16788.8</v>
      </c>
      <c r="J8" s="25">
        <f>E8*K4</f>
        <v>16788.8</v>
      </c>
      <c r="K8" s="25">
        <f>E8*K4</f>
        <v>16788.8</v>
      </c>
      <c r="L8" s="22">
        <f>I8+J8+K8</f>
        <v>50366.399999999994</v>
      </c>
      <c r="M8" s="28">
        <f>E8*K4</f>
        <v>16788.8</v>
      </c>
      <c r="N8" s="25">
        <f>E8*K4</f>
        <v>16788.8</v>
      </c>
      <c r="O8" s="25">
        <f>E8*K4</f>
        <v>16788.8</v>
      </c>
      <c r="P8" s="22">
        <f t="shared" ref="P8:P10" si="7">SUM(M8:O8)</f>
        <v>50366.399999999994</v>
      </c>
      <c r="Q8" s="28">
        <f>E8*K4</f>
        <v>16788.8</v>
      </c>
      <c r="R8" s="30">
        <v>15670</v>
      </c>
      <c r="S8" s="28">
        <f>E8*K4</f>
        <v>16788.8</v>
      </c>
      <c r="T8" s="28">
        <f t="shared" ref="T8:T10" si="8">SUM(Q8:S8)</f>
        <v>49247.6</v>
      </c>
      <c r="U8" s="165">
        <f t="shared" si="1"/>
        <v>198970.52</v>
      </c>
    </row>
    <row r="9" spans="1:22" s="13" customFormat="1">
      <c r="A9" s="143" t="s">
        <v>18</v>
      </c>
      <c r="B9" s="24" t="s">
        <v>30</v>
      </c>
      <c r="C9" s="27">
        <v>1.86</v>
      </c>
      <c r="D9" s="25">
        <f>C9*K4</f>
        <v>11152.560000000001</v>
      </c>
      <c r="E9" s="288">
        <v>2.2000000000000002</v>
      </c>
      <c r="F9" s="25">
        <f>E9*K4</f>
        <v>13191.2</v>
      </c>
      <c r="G9" s="25">
        <f>E9*K4</f>
        <v>13191.2</v>
      </c>
      <c r="H9" s="20">
        <f t="shared" si="6"/>
        <v>37537.160000000003</v>
      </c>
      <c r="I9" s="25">
        <f>E9*K4</f>
        <v>13191.2</v>
      </c>
      <c r="J9" s="25">
        <f>E9*K4</f>
        <v>13191.2</v>
      </c>
      <c r="K9" s="28">
        <f>E9*K4</f>
        <v>13191.2</v>
      </c>
      <c r="L9" s="22">
        <f>I9+J9+K9</f>
        <v>39573.600000000006</v>
      </c>
      <c r="M9" s="28">
        <f>E9*K4</f>
        <v>13191.2</v>
      </c>
      <c r="N9" s="25">
        <f>E9*K4</f>
        <v>13191.2</v>
      </c>
      <c r="O9" s="25">
        <f>E9*K4</f>
        <v>13191.2</v>
      </c>
      <c r="P9" s="22">
        <f t="shared" si="7"/>
        <v>39573.600000000006</v>
      </c>
      <c r="Q9" s="28">
        <f>E9*K4</f>
        <v>13191.2</v>
      </c>
      <c r="R9" s="28">
        <f>E9*K4</f>
        <v>13191.2</v>
      </c>
      <c r="S9" s="28">
        <f>E9*K4</f>
        <v>13191.2</v>
      </c>
      <c r="T9" s="28">
        <f t="shared" si="8"/>
        <v>39573.600000000006</v>
      </c>
      <c r="U9" s="165">
        <f t="shared" si="1"/>
        <v>156257.96000000002</v>
      </c>
    </row>
    <row r="10" spans="1:22" s="13" customFormat="1" ht="15.75" thickBot="1">
      <c r="A10" s="146" t="s">
        <v>31</v>
      </c>
      <c r="B10" s="33" t="s">
        <v>19</v>
      </c>
      <c r="C10" s="48"/>
      <c r="D10" s="34">
        <f t="shared" ref="D10" si="9">C10*$K$4</f>
        <v>0</v>
      </c>
      <c r="E10" s="289"/>
      <c r="F10" s="34">
        <f t="shared" ref="F10" si="10">C10*$K$4</f>
        <v>0</v>
      </c>
      <c r="G10" s="34">
        <f t="shared" ref="G10" si="11">C10*$K$4</f>
        <v>0</v>
      </c>
      <c r="H10" s="66">
        <f t="shared" si="6"/>
        <v>0</v>
      </c>
      <c r="I10" s="34">
        <f t="shared" ref="I10" si="12">C10*$K$4</f>
        <v>0</v>
      </c>
      <c r="J10" s="34">
        <f t="shared" ref="J10" si="13">C10*$K$4</f>
        <v>0</v>
      </c>
      <c r="K10" s="58">
        <f>C10*$K$4</f>
        <v>0</v>
      </c>
      <c r="L10" s="84">
        <f>I10+J10+K10</f>
        <v>0</v>
      </c>
      <c r="M10" s="58">
        <f>C10*$K$4</f>
        <v>0</v>
      </c>
      <c r="N10" s="34">
        <f>C10*$K$4</f>
        <v>0</v>
      </c>
      <c r="O10" s="34">
        <f>C10*$K$4</f>
        <v>0</v>
      </c>
      <c r="P10" s="84">
        <f t="shared" si="7"/>
        <v>0</v>
      </c>
      <c r="Q10" s="58">
        <f>C10*$K$4</f>
        <v>0</v>
      </c>
      <c r="R10" s="58">
        <f>C10*$K$4</f>
        <v>0</v>
      </c>
      <c r="S10" s="58">
        <f>C10*$K$4</f>
        <v>0</v>
      </c>
      <c r="T10" s="58">
        <f t="shared" si="8"/>
        <v>0</v>
      </c>
      <c r="U10" s="167">
        <f t="shared" si="1"/>
        <v>0</v>
      </c>
    </row>
    <row r="11" spans="1:22" s="13" customFormat="1" ht="15.75" thickBot="1">
      <c r="A11" s="36" t="s">
        <v>103</v>
      </c>
      <c r="B11" s="37" t="s">
        <v>20</v>
      </c>
      <c r="C11" s="41"/>
      <c r="D11" s="38">
        <v>96082.34</v>
      </c>
      <c r="E11" s="290"/>
      <c r="F11" s="38">
        <v>90645.98</v>
      </c>
      <c r="G11" s="38">
        <v>96629.36</v>
      </c>
      <c r="H11" s="119">
        <f t="shared" si="6"/>
        <v>283357.68</v>
      </c>
      <c r="I11" s="38">
        <v>96726.26</v>
      </c>
      <c r="J11" s="38">
        <v>97048.4</v>
      </c>
      <c r="K11" s="40">
        <v>92898.75</v>
      </c>
      <c r="L11" s="68">
        <f>I11+J11+K11+K12</f>
        <v>295373.40999999997</v>
      </c>
      <c r="M11" s="40">
        <v>99473.919999999998</v>
      </c>
      <c r="N11" s="38">
        <v>93555.85</v>
      </c>
      <c r="O11" s="38">
        <v>117837.8</v>
      </c>
      <c r="P11" s="69">
        <f>SUM(M11:O11)</f>
        <v>310867.57</v>
      </c>
      <c r="Q11" s="40">
        <v>91190.7</v>
      </c>
      <c r="R11" s="40">
        <v>107846.41</v>
      </c>
      <c r="S11" s="40">
        <v>92889.44</v>
      </c>
      <c r="T11" s="40">
        <f>SUM(Q11:S11)+S12</f>
        <v>302426.55</v>
      </c>
      <c r="U11" s="171">
        <f t="shared" si="1"/>
        <v>1192025.21</v>
      </c>
    </row>
    <row r="12" spans="1:22" s="13" customFormat="1">
      <c r="A12" s="148"/>
      <c r="B12" s="45" t="s">
        <v>87</v>
      </c>
      <c r="C12" s="89"/>
      <c r="D12" s="46"/>
      <c r="E12" s="291"/>
      <c r="F12" s="46"/>
      <c r="G12" s="46"/>
      <c r="H12" s="98"/>
      <c r="I12" s="46"/>
      <c r="J12" s="46"/>
      <c r="K12" s="231">
        <v>8700</v>
      </c>
      <c r="L12" s="85"/>
      <c r="M12" s="76"/>
      <c r="N12" s="46"/>
      <c r="O12" s="46"/>
      <c r="P12" s="85"/>
      <c r="Q12" s="76"/>
      <c r="R12" s="76"/>
      <c r="S12" s="231">
        <f>8700+1800</f>
        <v>10500</v>
      </c>
      <c r="T12" s="76"/>
      <c r="U12" s="168"/>
    </row>
    <row r="13" spans="1:22" s="13" customFormat="1">
      <c r="A13" s="143"/>
      <c r="B13" s="15" t="s">
        <v>21</v>
      </c>
      <c r="C13" s="27"/>
      <c r="D13" s="25">
        <f>D11-D6</f>
        <v>-753.06000000001222</v>
      </c>
      <c r="E13" s="288"/>
      <c r="F13" s="25">
        <f t="shared" ref="F13:T13" si="14">F11-F6</f>
        <v>-6189.4200000000128</v>
      </c>
      <c r="G13" s="25">
        <f t="shared" si="14"/>
        <v>-206.04000000000815</v>
      </c>
      <c r="H13" s="22">
        <f t="shared" si="14"/>
        <v>-7164.6699999999837</v>
      </c>
      <c r="I13" s="25">
        <f t="shared" si="14"/>
        <v>-109.14000000001397</v>
      </c>
      <c r="J13" s="25">
        <f t="shared" si="14"/>
        <v>212.99999999998545</v>
      </c>
      <c r="K13" s="28">
        <f t="shared" si="14"/>
        <v>-3936.6500000000087</v>
      </c>
      <c r="L13" s="22">
        <f t="shared" si="14"/>
        <v>4867.2099999999627</v>
      </c>
      <c r="M13" s="28">
        <f t="shared" si="14"/>
        <v>2638.5199999999895</v>
      </c>
      <c r="N13" s="25">
        <f t="shared" si="14"/>
        <v>-3279.5500000000029</v>
      </c>
      <c r="O13" s="25">
        <f t="shared" si="14"/>
        <v>21002.399999999994</v>
      </c>
      <c r="P13" s="22">
        <f t="shared" si="14"/>
        <v>20361.369999999995</v>
      </c>
      <c r="Q13" s="28">
        <f t="shared" si="14"/>
        <v>-5644.7000000000116</v>
      </c>
      <c r="R13" s="28">
        <f t="shared" si="14"/>
        <v>12129.809999999998</v>
      </c>
      <c r="S13" s="28">
        <f t="shared" si="14"/>
        <v>-3945.9600000000064</v>
      </c>
      <c r="T13" s="28">
        <f t="shared" si="14"/>
        <v>13039.149999999965</v>
      </c>
      <c r="U13" s="165">
        <f t="shared" ref="U13:U27" si="15">H13+L13+P13+T13</f>
        <v>31103.059999999939</v>
      </c>
    </row>
    <row r="14" spans="1:22" s="13" customFormat="1" ht="32.25" customHeight="1">
      <c r="A14" s="141" t="s">
        <v>22</v>
      </c>
      <c r="B14" s="19" t="s">
        <v>23</v>
      </c>
      <c r="C14" s="27"/>
      <c r="D14" s="22">
        <f>SUM(D15:D26)</f>
        <v>67237.560000000012</v>
      </c>
      <c r="E14" s="288"/>
      <c r="F14" s="22">
        <f>SUM(F15:F26)</f>
        <v>80975.239999999991</v>
      </c>
      <c r="G14" s="22">
        <f>SUM(G15:G26)</f>
        <v>76592.239999999991</v>
      </c>
      <c r="H14" s="20">
        <f>SUM(D14:G14)</f>
        <v>224805.03999999998</v>
      </c>
      <c r="I14" s="22">
        <f>SUM(I15:I23)</f>
        <v>83503.239999999991</v>
      </c>
      <c r="J14" s="22">
        <f>SUM(J15:J23)</f>
        <v>82072.239999999991</v>
      </c>
      <c r="K14" s="22">
        <f>SUM(K15:K23)</f>
        <v>72765.239999999991</v>
      </c>
      <c r="L14" s="22">
        <f t="shared" ref="L14:L26" si="16">I14+J14+K14</f>
        <v>238340.71999999997</v>
      </c>
      <c r="M14" s="22">
        <f>SUM(M15:M23)</f>
        <v>82468.239999999991</v>
      </c>
      <c r="N14" s="22">
        <f>SUM(N15:N23)</f>
        <v>150117.24</v>
      </c>
      <c r="O14" s="22">
        <f>SUM(O15:O23)</f>
        <v>70418.239999999991</v>
      </c>
      <c r="P14" s="20">
        <f>SUM(M14:O14)</f>
        <v>303003.71999999997</v>
      </c>
      <c r="Q14" s="22">
        <f>SUM(Q15:Q23)</f>
        <v>283638.24</v>
      </c>
      <c r="R14" s="22">
        <f>SUM(R15:R23)</f>
        <v>181453.44</v>
      </c>
      <c r="S14" s="22">
        <f>SUM(S15:S23)</f>
        <v>70093.239999999991</v>
      </c>
      <c r="T14" s="20">
        <f>SUM(Q14:S14)</f>
        <v>535184.91999999993</v>
      </c>
      <c r="U14" s="142">
        <f t="shared" si="15"/>
        <v>1301334.3999999999</v>
      </c>
    </row>
    <row r="15" spans="1:22" s="13" customFormat="1">
      <c r="A15" s="143" t="s">
        <v>24</v>
      </c>
      <c r="B15" s="15" t="s">
        <v>17</v>
      </c>
      <c r="C15" s="27">
        <v>2.57</v>
      </c>
      <c r="D15" s="25">
        <f>C15*K4</f>
        <v>15409.72</v>
      </c>
      <c r="E15" s="288">
        <v>2.8</v>
      </c>
      <c r="F15" s="25">
        <f>E15*K4</f>
        <v>16788.8</v>
      </c>
      <c r="G15" s="25">
        <f>F15</f>
        <v>16788.8</v>
      </c>
      <c r="H15" s="20">
        <f>SUM(D15:G15)</f>
        <v>48990.119999999995</v>
      </c>
      <c r="I15" s="25">
        <f>G15</f>
        <v>16788.8</v>
      </c>
      <c r="J15" s="25">
        <f>I15</f>
        <v>16788.8</v>
      </c>
      <c r="K15" s="28">
        <f>J15</f>
        <v>16788.8</v>
      </c>
      <c r="L15" s="22">
        <f t="shared" si="16"/>
        <v>50366.399999999994</v>
      </c>
      <c r="M15" s="28">
        <f>K15</f>
        <v>16788.8</v>
      </c>
      <c r="N15" s="25">
        <f t="shared" ref="N15:O16" si="17">M15</f>
        <v>16788.8</v>
      </c>
      <c r="O15" s="25">
        <f t="shared" si="17"/>
        <v>16788.8</v>
      </c>
      <c r="P15" s="20">
        <f>SUM(M15:O15)</f>
        <v>50366.399999999994</v>
      </c>
      <c r="Q15" s="28">
        <f>O15</f>
        <v>16788.8</v>
      </c>
      <c r="R15" s="30">
        <v>15670</v>
      </c>
      <c r="S15" s="28">
        <f>E15*K4</f>
        <v>16788.8</v>
      </c>
      <c r="T15" s="26">
        <f>SUM(Q15:S15)</f>
        <v>49247.6</v>
      </c>
      <c r="U15" s="165">
        <f t="shared" si="15"/>
        <v>198970.52</v>
      </c>
    </row>
    <row r="16" spans="1:22" s="13" customFormat="1">
      <c r="A16" s="143" t="s">
        <v>25</v>
      </c>
      <c r="B16" s="15" t="s">
        <v>88</v>
      </c>
      <c r="C16" s="27">
        <v>2.99</v>
      </c>
      <c r="D16" s="25">
        <f>C16*K4</f>
        <v>17928.04</v>
      </c>
      <c r="E16" s="288">
        <v>3.99</v>
      </c>
      <c r="F16" s="25">
        <f>E16*K4</f>
        <v>23924.04</v>
      </c>
      <c r="G16" s="25">
        <f>E16*K4</f>
        <v>23924.04</v>
      </c>
      <c r="H16" s="20">
        <f>SUM(D16:G16)</f>
        <v>65780.110000000015</v>
      </c>
      <c r="I16" s="25">
        <f>G16</f>
        <v>23924.04</v>
      </c>
      <c r="J16" s="25">
        <f>I16</f>
        <v>23924.04</v>
      </c>
      <c r="K16" s="28">
        <f>J16</f>
        <v>23924.04</v>
      </c>
      <c r="L16" s="22">
        <f t="shared" si="16"/>
        <v>71772.12</v>
      </c>
      <c r="M16" s="28">
        <f>K16</f>
        <v>23924.04</v>
      </c>
      <c r="N16" s="25">
        <f t="shared" si="17"/>
        <v>23924.04</v>
      </c>
      <c r="O16" s="25">
        <f t="shared" si="17"/>
        <v>23924.04</v>
      </c>
      <c r="P16" s="20">
        <f>SUM(M16:O16)</f>
        <v>71772.12</v>
      </c>
      <c r="Q16" s="28">
        <f>O16</f>
        <v>23924.04</v>
      </c>
      <c r="R16" s="28">
        <f t="shared" ref="R16:S16" si="18">Q16</f>
        <v>23924.04</v>
      </c>
      <c r="S16" s="28">
        <f t="shared" si="18"/>
        <v>23924.04</v>
      </c>
      <c r="T16" s="26">
        <f>SUM(Q16:S16)</f>
        <v>71772.12</v>
      </c>
      <c r="U16" s="165">
        <f t="shared" si="15"/>
        <v>281096.46999999997</v>
      </c>
    </row>
    <row r="17" spans="1:22" s="13" customFormat="1" ht="15.75" thickBot="1">
      <c r="A17" s="143" t="s">
        <v>27</v>
      </c>
      <c r="B17" s="33" t="s">
        <v>30</v>
      </c>
      <c r="C17" s="48">
        <v>1.86</v>
      </c>
      <c r="D17" s="34">
        <f>C17*K4</f>
        <v>11152.560000000001</v>
      </c>
      <c r="E17" s="289">
        <v>2.2000000000000002</v>
      </c>
      <c r="F17" s="34">
        <f>E17*K4</f>
        <v>13191.2</v>
      </c>
      <c r="G17" s="34">
        <f>E17*K4</f>
        <v>13191.2</v>
      </c>
      <c r="H17" s="66">
        <f t="shared" ref="H17:H26" si="19">SUM(D17:G17)</f>
        <v>37537.160000000003</v>
      </c>
      <c r="I17" s="34">
        <f>E17*K4</f>
        <v>13191.2</v>
      </c>
      <c r="J17" s="34">
        <f>E17*K4</f>
        <v>13191.2</v>
      </c>
      <c r="K17" s="58">
        <f>E17*K4</f>
        <v>13191.2</v>
      </c>
      <c r="L17" s="84">
        <f t="shared" si="16"/>
        <v>39573.600000000006</v>
      </c>
      <c r="M17" s="58">
        <f>E17*K4</f>
        <v>13191.2</v>
      </c>
      <c r="N17" s="34">
        <f>E17*K4</f>
        <v>13191.2</v>
      </c>
      <c r="O17" s="34">
        <f>E17*K4</f>
        <v>13191.2</v>
      </c>
      <c r="P17" s="66">
        <f t="shared" ref="P17:P26" si="20">SUM(M17:O17)</f>
        <v>39573.600000000006</v>
      </c>
      <c r="Q17" s="58">
        <f>E17*K4</f>
        <v>13191.2</v>
      </c>
      <c r="R17" s="58">
        <f>E17*K4</f>
        <v>13191.2</v>
      </c>
      <c r="S17" s="58">
        <f>E17*K4</f>
        <v>13191.2</v>
      </c>
      <c r="T17" s="35">
        <f t="shared" ref="T17:T26" si="21">SUM(Q17:S17)</f>
        <v>39573.600000000006</v>
      </c>
      <c r="U17" s="167">
        <f t="shared" si="15"/>
        <v>156257.96000000002</v>
      </c>
    </row>
    <row r="18" spans="1:22" s="13" customFormat="1" ht="15.75" thickBot="1">
      <c r="A18" s="182" t="s">
        <v>28</v>
      </c>
      <c r="B18" s="183" t="s">
        <v>40</v>
      </c>
      <c r="C18" s="41"/>
      <c r="D18" s="38">
        <v>17111</v>
      </c>
      <c r="E18" s="290"/>
      <c r="F18" s="38">
        <v>10882</v>
      </c>
      <c r="G18" s="38">
        <v>6499</v>
      </c>
      <c r="H18" s="119">
        <f t="shared" si="19"/>
        <v>34492</v>
      </c>
      <c r="I18" s="38">
        <v>13410</v>
      </c>
      <c r="J18" s="38">
        <v>11979</v>
      </c>
      <c r="K18" s="40">
        <v>2672</v>
      </c>
      <c r="L18" s="68">
        <f t="shared" si="16"/>
        <v>28061</v>
      </c>
      <c r="M18" s="40">
        <v>12375</v>
      </c>
      <c r="N18" s="38">
        <v>80024</v>
      </c>
      <c r="O18" s="38">
        <v>325</v>
      </c>
      <c r="P18" s="119">
        <f t="shared" si="20"/>
        <v>92724</v>
      </c>
      <c r="Q18" s="40">
        <v>213545</v>
      </c>
      <c r="R18" s="40">
        <v>112479</v>
      </c>
      <c r="S18" s="40">
        <v>0</v>
      </c>
      <c r="T18" s="115">
        <f t="shared" si="21"/>
        <v>326024</v>
      </c>
      <c r="U18" s="171">
        <f t="shared" si="15"/>
        <v>481301</v>
      </c>
    </row>
    <row r="19" spans="1:22" s="13" customFormat="1">
      <c r="A19" s="143" t="s">
        <v>33</v>
      </c>
      <c r="B19" s="45" t="s">
        <v>39</v>
      </c>
      <c r="C19" s="89">
        <v>0.82</v>
      </c>
      <c r="D19" s="46">
        <f>C19*K4</f>
        <v>4916.7199999999993</v>
      </c>
      <c r="E19" s="291">
        <v>1</v>
      </c>
      <c r="F19" s="46">
        <f>E19*K4</f>
        <v>5996</v>
      </c>
      <c r="G19" s="46">
        <f>F19</f>
        <v>5996</v>
      </c>
      <c r="H19" s="98">
        <f t="shared" si="19"/>
        <v>16909.72</v>
      </c>
      <c r="I19" s="46">
        <f>G19</f>
        <v>5996</v>
      </c>
      <c r="J19" s="46">
        <f>I19</f>
        <v>5996</v>
      </c>
      <c r="K19" s="46">
        <f>J19</f>
        <v>5996</v>
      </c>
      <c r="L19" s="85">
        <f t="shared" si="16"/>
        <v>17988</v>
      </c>
      <c r="M19" s="46">
        <f>K19</f>
        <v>5996</v>
      </c>
      <c r="N19" s="46">
        <f t="shared" ref="N19:O21" si="22">M19</f>
        <v>5996</v>
      </c>
      <c r="O19" s="46">
        <f t="shared" si="22"/>
        <v>5996</v>
      </c>
      <c r="P19" s="98">
        <f t="shared" si="20"/>
        <v>17988</v>
      </c>
      <c r="Q19" s="76">
        <f>O19</f>
        <v>5996</v>
      </c>
      <c r="R19" s="76">
        <f t="shared" ref="R19:S21" si="23">Q19</f>
        <v>5996</v>
      </c>
      <c r="S19" s="76">
        <f t="shared" si="23"/>
        <v>5996</v>
      </c>
      <c r="T19" s="47">
        <f t="shared" si="21"/>
        <v>17988</v>
      </c>
      <c r="U19" s="168">
        <f t="shared" si="15"/>
        <v>70873.72</v>
      </c>
    </row>
    <row r="20" spans="1:22" s="13" customFormat="1">
      <c r="A20" s="143" t="s">
        <v>34</v>
      </c>
      <c r="B20" s="15" t="s">
        <v>41</v>
      </c>
      <c r="C20" s="27">
        <v>0.12</v>
      </c>
      <c r="D20" s="25">
        <f>C20*K4</f>
        <v>719.52</v>
      </c>
      <c r="E20" s="288">
        <v>0.2</v>
      </c>
      <c r="F20" s="25">
        <f>E20*K4</f>
        <v>1199.2</v>
      </c>
      <c r="G20" s="25">
        <f>F20</f>
        <v>1199.2</v>
      </c>
      <c r="H20" s="20">
        <f t="shared" si="19"/>
        <v>3118.12</v>
      </c>
      <c r="I20" s="25">
        <f>G20</f>
        <v>1199.2</v>
      </c>
      <c r="J20" s="25">
        <f>I20</f>
        <v>1199.2</v>
      </c>
      <c r="K20" s="25">
        <f>J20</f>
        <v>1199.2</v>
      </c>
      <c r="L20" s="22">
        <f t="shared" si="16"/>
        <v>3597.6000000000004</v>
      </c>
      <c r="M20" s="25">
        <f>K20</f>
        <v>1199.2</v>
      </c>
      <c r="N20" s="25">
        <f t="shared" si="22"/>
        <v>1199.2</v>
      </c>
      <c r="O20" s="25">
        <f t="shared" si="22"/>
        <v>1199.2</v>
      </c>
      <c r="P20" s="20">
        <f t="shared" si="20"/>
        <v>3597.6000000000004</v>
      </c>
      <c r="Q20" s="28">
        <f>O20</f>
        <v>1199.2</v>
      </c>
      <c r="R20" s="28">
        <f t="shared" si="23"/>
        <v>1199.2</v>
      </c>
      <c r="S20" s="28">
        <f t="shared" si="23"/>
        <v>1199.2</v>
      </c>
      <c r="T20" s="26">
        <f t="shared" si="21"/>
        <v>3597.6000000000004</v>
      </c>
      <c r="U20" s="165">
        <f t="shared" si="15"/>
        <v>13910.92</v>
      </c>
    </row>
    <row r="21" spans="1:22" s="13" customFormat="1">
      <c r="A21" s="143" t="s">
        <v>35</v>
      </c>
      <c r="B21" s="15" t="s">
        <v>89</v>
      </c>
      <c r="C21" s="27"/>
      <c r="D21" s="25">
        <f t="shared" ref="D21" si="24">C21*$K$4</f>
        <v>0</v>
      </c>
      <c r="E21" s="288"/>
      <c r="F21" s="25">
        <f t="shared" ref="F21" si="25">C21*$K$4</f>
        <v>0</v>
      </c>
      <c r="G21" s="25">
        <f t="shared" ref="G21" si="26">C21*$K$4</f>
        <v>0</v>
      </c>
      <c r="H21" s="20">
        <f t="shared" si="19"/>
        <v>0</v>
      </c>
      <c r="I21" s="25">
        <f t="shared" ref="I21" si="27">C21*$K$4</f>
        <v>0</v>
      </c>
      <c r="J21" s="25">
        <f t="shared" ref="J21" si="28">C21*$K$4</f>
        <v>0</v>
      </c>
      <c r="K21" s="25">
        <f>J21</f>
        <v>0</v>
      </c>
      <c r="L21" s="22">
        <f t="shared" si="16"/>
        <v>0</v>
      </c>
      <c r="M21" s="25">
        <f>K21</f>
        <v>0</v>
      </c>
      <c r="N21" s="25">
        <f t="shared" si="22"/>
        <v>0</v>
      </c>
      <c r="O21" s="25">
        <f t="shared" si="22"/>
        <v>0</v>
      </c>
      <c r="P21" s="20">
        <f t="shared" si="20"/>
        <v>0</v>
      </c>
      <c r="Q21" s="28">
        <f>O21</f>
        <v>0</v>
      </c>
      <c r="R21" s="28">
        <f t="shared" si="23"/>
        <v>0</v>
      </c>
      <c r="S21" s="28">
        <f t="shared" si="23"/>
        <v>0</v>
      </c>
      <c r="T21" s="26">
        <f t="shared" si="21"/>
        <v>0</v>
      </c>
      <c r="U21" s="165">
        <f t="shared" si="15"/>
        <v>0</v>
      </c>
    </row>
    <row r="22" spans="1:22" s="13" customFormat="1">
      <c r="A22" s="143" t="s">
        <v>124</v>
      </c>
      <c r="B22" s="15" t="s">
        <v>123</v>
      </c>
      <c r="C22" s="27"/>
      <c r="D22" s="25"/>
      <c r="E22" s="288">
        <v>1.5</v>
      </c>
      <c r="F22" s="25">
        <f>E22*K4</f>
        <v>8994</v>
      </c>
      <c r="G22" s="25">
        <f>F22</f>
        <v>8994</v>
      </c>
      <c r="H22" s="20">
        <f>G22+F22+D22</f>
        <v>17988</v>
      </c>
      <c r="I22" s="25">
        <f>G22</f>
        <v>8994</v>
      </c>
      <c r="J22" s="25">
        <f>I22</f>
        <v>8994</v>
      </c>
      <c r="K22" s="25">
        <f>J22</f>
        <v>8994</v>
      </c>
      <c r="L22" s="22">
        <f>K22+J22+I22</f>
        <v>26982</v>
      </c>
      <c r="M22" s="25">
        <f>K22</f>
        <v>8994</v>
      </c>
      <c r="N22" s="25">
        <f>M22</f>
        <v>8994</v>
      </c>
      <c r="O22" s="25">
        <f>N22</f>
        <v>8994</v>
      </c>
      <c r="P22" s="20">
        <f>O22+N22+M22</f>
        <v>26982</v>
      </c>
      <c r="Q22" s="28">
        <f>O22</f>
        <v>8994</v>
      </c>
      <c r="R22" s="28">
        <f>Q22</f>
        <v>8994</v>
      </c>
      <c r="S22" s="28">
        <f>R22</f>
        <v>8994</v>
      </c>
      <c r="T22" s="26">
        <f>S22+R22+Q22</f>
        <v>26982</v>
      </c>
      <c r="U22" s="165">
        <f>T22+P22+L22+H22</f>
        <v>98934</v>
      </c>
    </row>
    <row r="23" spans="1:22" s="13" customFormat="1">
      <c r="A23" s="143" t="s">
        <v>125</v>
      </c>
      <c r="B23" s="15" t="s">
        <v>90</v>
      </c>
      <c r="C23" s="27"/>
      <c r="D23" s="25">
        <f>SUM(D25:D26)</f>
        <v>0</v>
      </c>
      <c r="E23" s="288"/>
      <c r="F23" s="25">
        <f>SUM(F25:F26)</f>
        <v>0</v>
      </c>
      <c r="G23" s="25">
        <f>SUM(G25:G26)</f>
        <v>0</v>
      </c>
      <c r="H23" s="20">
        <f t="shared" si="19"/>
        <v>0</v>
      </c>
      <c r="I23" s="25">
        <f>SUM(I25:I26)</f>
        <v>0</v>
      </c>
      <c r="J23" s="25">
        <f>SUM(J25:J26)</f>
        <v>0</v>
      </c>
      <c r="K23" s="25">
        <f>SUM(K25:K26)</f>
        <v>0</v>
      </c>
      <c r="L23" s="22">
        <f t="shared" si="16"/>
        <v>0</v>
      </c>
      <c r="M23" s="25">
        <f>SUM(M25:M26)</f>
        <v>0</v>
      </c>
      <c r="N23" s="25">
        <f>SUM(N25:N26)</f>
        <v>0</v>
      </c>
      <c r="O23" s="25">
        <f>SUM(O25:O26)</f>
        <v>0</v>
      </c>
      <c r="P23" s="20">
        <f t="shared" si="20"/>
        <v>0</v>
      </c>
      <c r="Q23" s="28">
        <f>SUM(Q25:Q26)</f>
        <v>0</v>
      </c>
      <c r="R23" s="28">
        <f>SUM(R25:R26)</f>
        <v>0</v>
      </c>
      <c r="S23" s="28">
        <f>SUM(S25:S26)</f>
        <v>0</v>
      </c>
      <c r="T23" s="26">
        <f t="shared" si="21"/>
        <v>0</v>
      </c>
      <c r="U23" s="165">
        <f t="shared" si="15"/>
        <v>0</v>
      </c>
    </row>
    <row r="24" spans="1:22" s="13" customFormat="1">
      <c r="A24" s="143"/>
      <c r="B24" s="15" t="s">
        <v>44</v>
      </c>
      <c r="C24" s="27"/>
      <c r="D24" s="25"/>
      <c r="E24" s="288"/>
      <c r="F24" s="25"/>
      <c r="G24" s="25"/>
      <c r="H24" s="20">
        <f t="shared" si="19"/>
        <v>0</v>
      </c>
      <c r="I24" s="25"/>
      <c r="J24" s="25"/>
      <c r="K24" s="25"/>
      <c r="L24" s="22">
        <f t="shared" si="16"/>
        <v>0</v>
      </c>
      <c r="M24" s="25"/>
      <c r="N24" s="25"/>
      <c r="O24" s="25"/>
      <c r="P24" s="20">
        <f t="shared" si="20"/>
        <v>0</v>
      </c>
      <c r="Q24" s="28"/>
      <c r="R24" s="28"/>
      <c r="S24" s="28"/>
      <c r="T24" s="26">
        <f t="shared" si="21"/>
        <v>0</v>
      </c>
      <c r="U24" s="165">
        <f t="shared" si="15"/>
        <v>0</v>
      </c>
    </row>
    <row r="25" spans="1:22" s="13" customFormat="1">
      <c r="A25" s="143"/>
      <c r="B25" s="15" t="s">
        <v>53</v>
      </c>
      <c r="C25" s="56"/>
      <c r="D25" s="25"/>
      <c r="E25" s="297"/>
      <c r="F25" s="25"/>
      <c r="G25" s="25"/>
      <c r="H25" s="20">
        <f t="shared" si="19"/>
        <v>0</v>
      </c>
      <c r="I25" s="25"/>
      <c r="J25" s="25"/>
      <c r="K25" s="29"/>
      <c r="L25" s="22">
        <f t="shared" si="16"/>
        <v>0</v>
      </c>
      <c r="M25" s="25"/>
      <c r="N25" s="25"/>
      <c r="O25" s="25"/>
      <c r="P25" s="20">
        <f t="shared" si="20"/>
        <v>0</v>
      </c>
      <c r="Q25" s="28"/>
      <c r="R25" s="28"/>
      <c r="S25" s="30"/>
      <c r="T25" s="26">
        <f t="shared" si="21"/>
        <v>0</v>
      </c>
      <c r="U25" s="165">
        <f t="shared" si="15"/>
        <v>0</v>
      </c>
    </row>
    <row r="26" spans="1:22" s="13" customFormat="1">
      <c r="A26" s="143"/>
      <c r="B26" s="15" t="s">
        <v>91</v>
      </c>
      <c r="C26" s="56"/>
      <c r="D26" s="25"/>
      <c r="E26" s="297"/>
      <c r="F26" s="25"/>
      <c r="G26" s="25"/>
      <c r="H26" s="20">
        <f t="shared" si="19"/>
        <v>0</v>
      </c>
      <c r="I26" s="25"/>
      <c r="J26" s="25"/>
      <c r="K26" s="25"/>
      <c r="L26" s="22">
        <f t="shared" si="16"/>
        <v>0</v>
      </c>
      <c r="M26" s="25"/>
      <c r="N26" s="25"/>
      <c r="O26" s="25"/>
      <c r="P26" s="20">
        <f t="shared" si="20"/>
        <v>0</v>
      </c>
      <c r="Q26" s="28"/>
      <c r="R26" s="28"/>
      <c r="S26" s="28"/>
      <c r="T26" s="26">
        <f t="shared" si="21"/>
        <v>0</v>
      </c>
      <c r="U26" s="165">
        <f t="shared" si="15"/>
        <v>0</v>
      </c>
    </row>
    <row r="27" spans="1:22" s="13" customFormat="1" ht="15.75" thickBot="1">
      <c r="A27" s="173"/>
      <c r="B27" s="151" t="s">
        <v>43</v>
      </c>
      <c r="C27" s="152"/>
      <c r="D27" s="153"/>
      <c r="E27" s="298"/>
      <c r="F27" s="154"/>
      <c r="G27" s="154"/>
      <c r="H27" s="155">
        <f>H11-H14</f>
        <v>58552.640000000014</v>
      </c>
      <c r="I27" s="154"/>
      <c r="J27" s="154"/>
      <c r="K27" s="154"/>
      <c r="L27" s="155">
        <f>L11-L14</f>
        <v>57032.69</v>
      </c>
      <c r="M27" s="157"/>
      <c r="N27" s="157"/>
      <c r="O27" s="154"/>
      <c r="P27" s="155">
        <f>P11-P14</f>
        <v>7863.8500000000349</v>
      </c>
      <c r="Q27" s="156"/>
      <c r="R27" s="156"/>
      <c r="S27" s="156"/>
      <c r="T27" s="157">
        <f>T11-T14</f>
        <v>-232758.36999999994</v>
      </c>
      <c r="U27" s="170">
        <f t="shared" si="15"/>
        <v>-109309.18999999989</v>
      </c>
      <c r="V27" s="126"/>
    </row>
    <row r="28" spans="1:22">
      <c r="P28" s="1"/>
    </row>
    <row r="29" spans="1:22">
      <c r="H29" s="1"/>
      <c r="L29" s="1"/>
    </row>
  </sheetData>
  <mergeCells count="4">
    <mergeCell ref="A1:L1"/>
    <mergeCell ref="A2:L2"/>
    <mergeCell ref="M2:O2"/>
    <mergeCell ref="A3:L3"/>
  </mergeCells>
  <pageMargins left="0" right="0" top="0.74803149606299213" bottom="0.74803149606299213" header="0.31496062992125984" footer="0.31496062992125984"/>
  <pageSetup paperSize="9" scale="58" orientation="landscape" r:id="rId1"/>
  <colBreaks count="1" manualBreakCount="1">
    <brk id="22" max="29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2"/>
  <sheetViews>
    <sheetView zoomScaleNormal="100" workbookViewId="0">
      <selection activeCell="G37" sqref="G37"/>
    </sheetView>
  </sheetViews>
  <sheetFormatPr defaultRowHeight="15"/>
  <cols>
    <col min="1" max="1" width="7.140625" style="5" customWidth="1"/>
    <col min="2" max="2" width="34" style="5" customWidth="1"/>
    <col min="3" max="3" width="9.42578125" style="5" customWidth="1"/>
    <col min="4" max="4" width="8.7109375" style="5" customWidth="1"/>
    <col min="5" max="5" width="8.5703125" style="5" customWidth="1"/>
    <col min="6" max="6" width="9.85546875" style="5" customWidth="1"/>
    <col min="7" max="7" width="9.28515625" style="5" customWidth="1"/>
    <col min="8" max="8" width="7.7109375" style="5" customWidth="1"/>
    <col min="9" max="9" width="10" style="5" customWidth="1"/>
    <col min="10" max="10" width="8.5703125" style="5" customWidth="1"/>
    <col min="11" max="11" width="9" style="5" customWidth="1"/>
    <col min="12" max="12" width="9.28515625" style="5" customWidth="1"/>
    <col min="13" max="16" width="9.140625" style="5" customWidth="1"/>
    <col min="17" max="17" width="9" style="5" customWidth="1"/>
    <col min="18" max="18" width="8.85546875" style="5" customWidth="1"/>
    <col min="19" max="26" width="9.140625" style="5" customWidth="1"/>
    <col min="27" max="16384" width="9.140625" style="5"/>
  </cols>
  <sheetData>
    <row r="1" spans="1:22" s="13" customForma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R1" s="13" t="s">
        <v>94</v>
      </c>
    </row>
    <row r="2" spans="1:22" s="13" customFormat="1">
      <c r="A2" s="368" t="s">
        <v>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R2" s="13" t="s">
        <v>95</v>
      </c>
    </row>
    <row r="3" spans="1:22" s="13" customFormat="1">
      <c r="A3" s="370" t="s">
        <v>116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R3" s="373" t="s">
        <v>138</v>
      </c>
      <c r="S3" s="373"/>
      <c r="T3" s="373"/>
      <c r="U3" s="373"/>
      <c r="V3" s="373"/>
    </row>
    <row r="4" spans="1:22" s="13" customFormat="1" ht="15.75" thickBot="1">
      <c r="B4" s="13" t="s">
        <v>69</v>
      </c>
      <c r="K4" s="13">
        <v>2826.3</v>
      </c>
    </row>
    <row r="5" spans="1:22" s="13" customFormat="1">
      <c r="A5" s="134"/>
      <c r="B5" s="135" t="s">
        <v>2</v>
      </c>
      <c r="C5" s="136" t="s">
        <v>93</v>
      </c>
      <c r="D5" s="135" t="s">
        <v>4</v>
      </c>
      <c r="E5" s="135" t="s">
        <v>5</v>
      </c>
      <c r="F5" s="135" t="s">
        <v>6</v>
      </c>
      <c r="G5" s="137" t="s">
        <v>7</v>
      </c>
      <c r="H5" s="138" t="s">
        <v>8</v>
      </c>
      <c r="I5" s="136" t="s">
        <v>93</v>
      </c>
      <c r="J5" s="135" t="s">
        <v>9</v>
      </c>
      <c r="K5" s="135" t="s">
        <v>10</v>
      </c>
      <c r="L5" s="139" t="s">
        <v>11</v>
      </c>
      <c r="M5" s="138" t="s">
        <v>54</v>
      </c>
      <c r="N5" s="138" t="s">
        <v>55</v>
      </c>
      <c r="O5" s="138" t="s">
        <v>56</v>
      </c>
      <c r="P5" s="139" t="s">
        <v>57</v>
      </c>
      <c r="Q5" s="138" t="s">
        <v>63</v>
      </c>
      <c r="R5" s="138" t="s">
        <v>64</v>
      </c>
      <c r="S5" s="138" t="s">
        <v>65</v>
      </c>
      <c r="T5" s="138" t="s">
        <v>66</v>
      </c>
      <c r="U5" s="140" t="s">
        <v>71</v>
      </c>
    </row>
    <row r="6" spans="1:22" s="13" customFormat="1" ht="27.75" customHeight="1">
      <c r="A6" s="141" t="s">
        <v>12</v>
      </c>
      <c r="B6" s="19" t="s">
        <v>13</v>
      </c>
      <c r="C6" s="55"/>
      <c r="D6" s="20">
        <f t="shared" ref="D6:T6" si="0">SUM(D7:D10)</f>
        <v>34283.019</v>
      </c>
      <c r="E6" s="20">
        <f t="shared" si="0"/>
        <v>36742.391000000003</v>
      </c>
      <c r="F6" s="20">
        <f t="shared" si="0"/>
        <v>36742.391000000003</v>
      </c>
      <c r="G6" s="20">
        <f t="shared" si="0"/>
        <v>107767.80100000002</v>
      </c>
      <c r="H6" s="20">
        <f t="shared" si="0"/>
        <v>36742.391000000003</v>
      </c>
      <c r="I6" s="55"/>
      <c r="J6" s="20">
        <f t="shared" si="0"/>
        <v>36741.9</v>
      </c>
      <c r="K6" s="20">
        <f t="shared" si="0"/>
        <v>36741.9</v>
      </c>
      <c r="L6" s="20">
        <f t="shared" si="0"/>
        <v>110239.19100000001</v>
      </c>
      <c r="M6" s="20">
        <f t="shared" si="0"/>
        <v>36741.9</v>
      </c>
      <c r="N6" s="20">
        <f t="shared" si="0"/>
        <v>36741.9</v>
      </c>
      <c r="O6" s="20">
        <f t="shared" si="0"/>
        <v>36741.9</v>
      </c>
      <c r="P6" s="20">
        <f t="shared" si="0"/>
        <v>110225.70000000001</v>
      </c>
      <c r="Q6" s="20">
        <f t="shared" si="0"/>
        <v>36741.9</v>
      </c>
      <c r="R6" s="20">
        <f t="shared" si="0"/>
        <v>36741.9</v>
      </c>
      <c r="S6" s="20">
        <f t="shared" si="0"/>
        <v>36741.9</v>
      </c>
      <c r="T6" s="20">
        <f t="shared" si="0"/>
        <v>110225.70000000001</v>
      </c>
      <c r="U6" s="142">
        <f t="shared" ref="U6:U11" si="1">G6+L6+P6+T6</f>
        <v>438458.39200000005</v>
      </c>
    </row>
    <row r="7" spans="1:22" s="13" customFormat="1">
      <c r="A7" s="143" t="s">
        <v>14</v>
      </c>
      <c r="B7" s="15" t="s">
        <v>15</v>
      </c>
      <c r="C7" s="27">
        <v>7.7</v>
      </c>
      <c r="D7" s="25">
        <f>C7*$K$4</f>
        <v>21762.510000000002</v>
      </c>
      <c r="E7" s="25">
        <f>C7*$K$4</f>
        <v>21762.510000000002</v>
      </c>
      <c r="F7" s="25">
        <f>C7*$K$4</f>
        <v>21762.510000000002</v>
      </c>
      <c r="G7" s="20">
        <f>SUM(D7:F7)</f>
        <v>65287.530000000006</v>
      </c>
      <c r="H7" s="25">
        <f>C7*$K$4</f>
        <v>21762.510000000002</v>
      </c>
      <c r="I7" s="27">
        <v>7.15</v>
      </c>
      <c r="J7" s="25">
        <f>I7*K4</f>
        <v>20208.045000000002</v>
      </c>
      <c r="K7" s="25">
        <f>J7</f>
        <v>20208.045000000002</v>
      </c>
      <c r="L7" s="22">
        <f>SUM(H7:K7)</f>
        <v>62185.75</v>
      </c>
      <c r="M7" s="25">
        <f>K7</f>
        <v>20208.045000000002</v>
      </c>
      <c r="N7" s="28">
        <f>M7</f>
        <v>20208.045000000002</v>
      </c>
      <c r="O7" s="28">
        <f>N7</f>
        <v>20208.045000000002</v>
      </c>
      <c r="P7" s="22">
        <f>SUM(M7:O7)</f>
        <v>60624.135000000009</v>
      </c>
      <c r="Q7" s="28">
        <f>O7</f>
        <v>20208.045000000002</v>
      </c>
      <c r="R7" s="28">
        <f>Q7</f>
        <v>20208.045000000002</v>
      </c>
      <c r="S7" s="28">
        <f>R7</f>
        <v>20208.045000000002</v>
      </c>
      <c r="T7" s="28">
        <f>SUM(Q7:S7)</f>
        <v>60624.135000000009</v>
      </c>
      <c r="U7" s="144">
        <f t="shared" si="1"/>
        <v>248721.55000000002</v>
      </c>
    </row>
    <row r="8" spans="1:22" s="13" customFormat="1">
      <c r="A8" s="143" t="s">
        <v>16</v>
      </c>
      <c r="B8" s="15" t="s">
        <v>17</v>
      </c>
      <c r="C8" s="27">
        <v>2.57</v>
      </c>
      <c r="D8" s="25">
        <f>C8*$K$4</f>
        <v>7263.5910000000003</v>
      </c>
      <c r="E8" s="25">
        <v>7264</v>
      </c>
      <c r="F8" s="13">
        <v>7264</v>
      </c>
      <c r="G8" s="20">
        <f t="shared" ref="G8:G10" si="2">SUM(D8:F8)</f>
        <v>21791.591</v>
      </c>
      <c r="H8" s="15">
        <v>7264</v>
      </c>
      <c r="I8" s="27">
        <v>2.8</v>
      </c>
      <c r="J8" s="25">
        <f>I8*K4</f>
        <v>7913.64</v>
      </c>
      <c r="K8" s="25">
        <f>I8*K4</f>
        <v>7913.64</v>
      </c>
      <c r="L8" s="22">
        <f t="shared" ref="L8:L10" si="3">SUM(H8:K8)</f>
        <v>23094.080000000002</v>
      </c>
      <c r="M8" s="25">
        <f>I8*K4</f>
        <v>7913.64</v>
      </c>
      <c r="N8" s="25">
        <f>I8*K4</f>
        <v>7913.64</v>
      </c>
      <c r="O8" s="25">
        <f>I8*K4</f>
        <v>7913.64</v>
      </c>
      <c r="P8" s="22">
        <f t="shared" ref="P8:P10" si="4">SUM(M8:O8)</f>
        <v>23740.920000000002</v>
      </c>
      <c r="Q8" s="28">
        <f>I8*K4</f>
        <v>7913.64</v>
      </c>
      <c r="R8" s="28">
        <f>I8*K4</f>
        <v>7913.64</v>
      </c>
      <c r="S8" s="28">
        <f>I8*K4</f>
        <v>7913.64</v>
      </c>
      <c r="T8" s="28">
        <f t="shared" ref="T8:T10" si="5">SUM(Q8:S8)</f>
        <v>23740.920000000002</v>
      </c>
      <c r="U8" s="144">
        <f t="shared" si="1"/>
        <v>92367.510999999999</v>
      </c>
    </row>
    <row r="9" spans="1:22" s="13" customFormat="1">
      <c r="A9" s="143" t="s">
        <v>18</v>
      </c>
      <c r="B9" s="15" t="s">
        <v>30</v>
      </c>
      <c r="C9" s="27">
        <v>1.86</v>
      </c>
      <c r="D9" s="25">
        <f>C9*$K$4</f>
        <v>5256.9180000000006</v>
      </c>
      <c r="E9" s="25">
        <v>5257</v>
      </c>
      <c r="F9" s="25">
        <v>5257</v>
      </c>
      <c r="G9" s="20">
        <f t="shared" si="2"/>
        <v>15770.918000000001</v>
      </c>
      <c r="H9" s="25">
        <v>5257</v>
      </c>
      <c r="I9" s="27">
        <v>2.2000000000000002</v>
      </c>
      <c r="J9" s="25">
        <f>I9*K4</f>
        <v>6217.8600000000006</v>
      </c>
      <c r="K9" s="25">
        <f>I9*K4</f>
        <v>6217.8600000000006</v>
      </c>
      <c r="L9" s="22">
        <f t="shared" si="3"/>
        <v>17694.920000000002</v>
      </c>
      <c r="M9" s="25">
        <f>I9*K4</f>
        <v>6217.8600000000006</v>
      </c>
      <c r="N9" s="25">
        <f>I9*K4</f>
        <v>6217.8600000000006</v>
      </c>
      <c r="O9" s="25">
        <f>I9*K4</f>
        <v>6217.8600000000006</v>
      </c>
      <c r="P9" s="22">
        <f t="shared" si="4"/>
        <v>18653.580000000002</v>
      </c>
      <c r="Q9" s="28">
        <f>I9*K4</f>
        <v>6217.8600000000006</v>
      </c>
      <c r="R9" s="28">
        <f>I9*K4</f>
        <v>6217.8600000000006</v>
      </c>
      <c r="S9" s="28">
        <f>I9*K4</f>
        <v>6217.8600000000006</v>
      </c>
      <c r="T9" s="28">
        <f t="shared" si="5"/>
        <v>18653.580000000002</v>
      </c>
      <c r="U9" s="144">
        <f t="shared" si="1"/>
        <v>70772.998000000007</v>
      </c>
    </row>
    <row r="10" spans="1:22" s="13" customFormat="1">
      <c r="A10" s="143" t="s">
        <v>102</v>
      </c>
      <c r="B10" s="15" t="s">
        <v>19</v>
      </c>
      <c r="C10" s="27">
        <v>0.87</v>
      </c>
      <c r="D10" s="25"/>
      <c r="E10" s="25">
        <f>C10*$K$4</f>
        <v>2458.8810000000003</v>
      </c>
      <c r="F10" s="25">
        <f>C10*$K$4</f>
        <v>2458.8810000000003</v>
      </c>
      <c r="G10" s="20">
        <f t="shared" si="2"/>
        <v>4917.7620000000006</v>
      </c>
      <c r="H10" s="25">
        <f>C10*$K$4</f>
        <v>2458.8810000000003</v>
      </c>
      <c r="I10" s="27">
        <v>0.85</v>
      </c>
      <c r="J10" s="25">
        <f>I10*K4</f>
        <v>2402.355</v>
      </c>
      <c r="K10" s="25">
        <f>I10*K4</f>
        <v>2402.355</v>
      </c>
      <c r="L10" s="22">
        <f t="shared" si="3"/>
        <v>7264.4410000000007</v>
      </c>
      <c r="M10" s="25">
        <f>I10*K4</f>
        <v>2402.355</v>
      </c>
      <c r="N10" s="28">
        <f>I10*K4</f>
        <v>2402.355</v>
      </c>
      <c r="O10" s="28">
        <f>N10</f>
        <v>2402.355</v>
      </c>
      <c r="P10" s="22">
        <f t="shared" si="4"/>
        <v>7207.0650000000005</v>
      </c>
      <c r="Q10" s="28">
        <f>O10</f>
        <v>2402.355</v>
      </c>
      <c r="R10" s="28">
        <f>Q10</f>
        <v>2402.355</v>
      </c>
      <c r="S10" s="28">
        <f>R10</f>
        <v>2402.355</v>
      </c>
      <c r="T10" s="28">
        <f t="shared" si="5"/>
        <v>7207.0650000000005</v>
      </c>
      <c r="U10" s="144">
        <f t="shared" si="1"/>
        <v>26596.333000000006</v>
      </c>
    </row>
    <row r="11" spans="1:22" s="13" customFormat="1">
      <c r="A11" s="143" t="s">
        <v>103</v>
      </c>
      <c r="B11" s="15" t="s">
        <v>20</v>
      </c>
      <c r="C11" s="27"/>
      <c r="D11" s="29">
        <v>34713.17</v>
      </c>
      <c r="E11" s="29">
        <v>37285.29</v>
      </c>
      <c r="F11" s="29">
        <v>30551.07</v>
      </c>
      <c r="G11" s="55">
        <f>D11+E11+F11+F12</f>
        <v>102549.53</v>
      </c>
      <c r="H11" s="30">
        <v>42493.55</v>
      </c>
      <c r="I11" s="27"/>
      <c r="J11" s="29">
        <v>40586.31</v>
      </c>
      <c r="K11" s="29">
        <v>31679.37</v>
      </c>
      <c r="L11" s="56">
        <f>H11+J11+K11+K12</f>
        <v>122559.23</v>
      </c>
      <c r="M11" s="30">
        <v>41036.74</v>
      </c>
      <c r="N11" s="30">
        <v>32436.93</v>
      </c>
      <c r="O11" s="30">
        <v>43358.47</v>
      </c>
      <c r="P11" s="56">
        <f>M11+N11+O11+O12</f>
        <v>116832.14</v>
      </c>
      <c r="Q11" s="30">
        <v>39056.89</v>
      </c>
      <c r="R11" s="30">
        <v>35971.25</v>
      </c>
      <c r="S11" s="30">
        <v>33350.68</v>
      </c>
      <c r="T11" s="30"/>
      <c r="U11" s="145">
        <f t="shared" si="1"/>
        <v>341940.9</v>
      </c>
    </row>
    <row r="12" spans="1:22" s="13" customFormat="1">
      <c r="A12" s="143"/>
      <c r="B12" s="15" t="s">
        <v>72</v>
      </c>
      <c r="C12" s="27"/>
      <c r="D12" s="25"/>
      <c r="E12" s="25"/>
      <c r="F12" s="25"/>
      <c r="G12" s="20"/>
      <c r="H12" s="28"/>
      <c r="I12" s="27"/>
      <c r="J12" s="25"/>
      <c r="K12" s="29">
        <v>7800</v>
      </c>
      <c r="L12" s="22"/>
      <c r="M12" s="28"/>
      <c r="N12" s="28"/>
      <c r="O12" s="28"/>
      <c r="P12" s="22"/>
      <c r="Q12" s="28"/>
      <c r="R12" s="28"/>
      <c r="S12" s="30">
        <v>7800</v>
      </c>
      <c r="T12" s="28"/>
      <c r="U12" s="144"/>
    </row>
    <row r="13" spans="1:22" s="13" customFormat="1">
      <c r="A13" s="143"/>
      <c r="B13" s="15" t="s">
        <v>21</v>
      </c>
      <c r="C13" s="27"/>
      <c r="D13" s="25">
        <f t="shared" ref="D13:T13" si="6">D11-D6</f>
        <v>430.15099999999802</v>
      </c>
      <c r="E13" s="25">
        <f t="shared" si="6"/>
        <v>542.89899999999761</v>
      </c>
      <c r="F13" s="25">
        <f t="shared" si="6"/>
        <v>-6191.3210000000036</v>
      </c>
      <c r="G13" s="22">
        <f t="shared" si="6"/>
        <v>-5218.2710000000225</v>
      </c>
      <c r="H13" s="28">
        <f t="shared" si="6"/>
        <v>5751.1589999999997</v>
      </c>
      <c r="I13" s="27"/>
      <c r="J13" s="25">
        <f t="shared" si="6"/>
        <v>3844.4099999999962</v>
      </c>
      <c r="K13" s="25">
        <f t="shared" si="6"/>
        <v>-5062.5300000000025</v>
      </c>
      <c r="L13" s="22">
        <f t="shared" si="6"/>
        <v>12320.03899999999</v>
      </c>
      <c r="M13" s="28">
        <f t="shared" si="6"/>
        <v>4294.8399999999965</v>
      </c>
      <c r="N13" s="28">
        <f t="shared" si="6"/>
        <v>-4304.9700000000012</v>
      </c>
      <c r="O13" s="28">
        <f t="shared" si="6"/>
        <v>6616.57</v>
      </c>
      <c r="P13" s="22">
        <f t="shared" si="6"/>
        <v>6606.4399999999878</v>
      </c>
      <c r="Q13" s="28">
        <f t="shared" si="6"/>
        <v>2314.989999999998</v>
      </c>
      <c r="R13" s="28">
        <f t="shared" si="6"/>
        <v>-770.65000000000146</v>
      </c>
      <c r="S13" s="28">
        <f t="shared" si="6"/>
        <v>-3391.2200000000012</v>
      </c>
      <c r="T13" s="28">
        <f t="shared" si="6"/>
        <v>-110225.70000000001</v>
      </c>
      <c r="U13" s="144">
        <f t="shared" ref="U13:U30" si="7">G13+L13+P13+T13</f>
        <v>-96517.492000000057</v>
      </c>
    </row>
    <row r="14" spans="1:22" s="13" customFormat="1">
      <c r="A14" s="143"/>
      <c r="B14" s="15"/>
      <c r="C14" s="27"/>
      <c r="D14" s="25"/>
      <c r="E14" s="25"/>
      <c r="F14" s="25"/>
      <c r="G14" s="20"/>
      <c r="H14" s="28"/>
      <c r="I14" s="27"/>
      <c r="J14" s="25"/>
      <c r="K14" s="25"/>
      <c r="L14" s="22"/>
      <c r="M14" s="28"/>
      <c r="N14" s="28"/>
      <c r="O14" s="28"/>
      <c r="P14" s="22"/>
      <c r="Q14" s="28"/>
      <c r="R14" s="28"/>
      <c r="S14" s="28"/>
      <c r="T14" s="28"/>
      <c r="U14" s="144">
        <f t="shared" si="7"/>
        <v>0</v>
      </c>
    </row>
    <row r="15" spans="1:22" s="13" customFormat="1" ht="28.5" customHeight="1">
      <c r="A15" s="141" t="s">
        <v>22</v>
      </c>
      <c r="B15" s="19" t="s">
        <v>23</v>
      </c>
      <c r="C15" s="27"/>
      <c r="D15" s="22">
        <f>SUM(D16:D23)</f>
        <v>26892.749</v>
      </c>
      <c r="E15" s="22">
        <f>SUM(E16:E23)</f>
        <v>26528.240000000002</v>
      </c>
      <c r="F15" s="22">
        <f>SUM(F16:F23)</f>
        <v>26087.24</v>
      </c>
      <c r="G15" s="20">
        <f>SUM(D15:F15)</f>
        <v>79508.229000000007</v>
      </c>
      <c r="H15" s="22">
        <f>SUM(H16:H23)</f>
        <v>28377.24</v>
      </c>
      <c r="I15" s="27"/>
      <c r="J15" s="22">
        <f>SUM(J16:J23)</f>
        <v>29252.204999999998</v>
      </c>
      <c r="K15" s="22">
        <f>SUM(K16:K23)</f>
        <v>33541.195</v>
      </c>
      <c r="L15" s="20">
        <f>SUM(H15:K15)</f>
        <v>91170.64</v>
      </c>
      <c r="M15" s="22">
        <f>SUM(M16:M23)</f>
        <v>38584.205000000009</v>
      </c>
      <c r="N15" s="22">
        <f>SUM(N16:N23)</f>
        <v>38701.205000000009</v>
      </c>
      <c r="O15" s="22">
        <f>SUM(O16:O23)</f>
        <v>29252.204999999998</v>
      </c>
      <c r="P15" s="20">
        <f>SUM(M15:O15)</f>
        <v>106537.61500000002</v>
      </c>
      <c r="Q15" s="22">
        <f>SUM(Q16:Q23)</f>
        <v>29252.204999999998</v>
      </c>
      <c r="R15" s="22">
        <f>SUM(R16:R23)</f>
        <v>33676.205000000002</v>
      </c>
      <c r="S15" s="22">
        <f>S16+S17+S18+S19+S20+S21+S22+S23</f>
        <v>31394.204999999998</v>
      </c>
      <c r="T15" s="20">
        <f>SUM(Q15:S15)</f>
        <v>94322.615000000005</v>
      </c>
      <c r="U15" s="142">
        <f t="shared" si="7"/>
        <v>371539.09900000005</v>
      </c>
    </row>
    <row r="16" spans="1:22" s="13" customFormat="1">
      <c r="A16" s="143" t="s">
        <v>24</v>
      </c>
      <c r="B16" s="15" t="s">
        <v>17</v>
      </c>
      <c r="C16" s="27">
        <v>2.57</v>
      </c>
      <c r="D16" s="25">
        <f>C16*$K$4</f>
        <v>7263.5910000000003</v>
      </c>
      <c r="E16" s="25">
        <v>7264</v>
      </c>
      <c r="F16" s="25">
        <v>7264</v>
      </c>
      <c r="G16" s="20">
        <f>SUM(D16:F16)</f>
        <v>21791.591</v>
      </c>
      <c r="H16" s="25">
        <v>7264</v>
      </c>
      <c r="I16" s="27">
        <v>2.8</v>
      </c>
      <c r="J16" s="25">
        <f>I16*K4</f>
        <v>7913.64</v>
      </c>
      <c r="K16" s="25">
        <f>I16*K4</f>
        <v>7913.64</v>
      </c>
      <c r="L16" s="20">
        <f>SUM(H16:K16)</f>
        <v>23094.080000000002</v>
      </c>
      <c r="M16" s="25">
        <f>I16*K4</f>
        <v>7913.64</v>
      </c>
      <c r="N16" s="25">
        <f>I16*K4</f>
        <v>7913.64</v>
      </c>
      <c r="O16" s="25">
        <f>I16*K4</f>
        <v>7913.64</v>
      </c>
      <c r="P16" s="20">
        <f>SUM(M16:O16)</f>
        <v>23740.920000000002</v>
      </c>
      <c r="Q16" s="25">
        <f>I16*K4</f>
        <v>7913.64</v>
      </c>
      <c r="R16" s="25">
        <f>I16*K4</f>
        <v>7913.64</v>
      </c>
      <c r="S16" s="25">
        <f>I16*K4</f>
        <v>7913.64</v>
      </c>
      <c r="T16" s="26">
        <f>SUM(Q16:S16)</f>
        <v>23740.920000000002</v>
      </c>
      <c r="U16" s="144">
        <f t="shared" si="7"/>
        <v>92367.510999999999</v>
      </c>
    </row>
    <row r="17" spans="1:22" s="13" customFormat="1">
      <c r="A17" s="143" t="s">
        <v>25</v>
      </c>
      <c r="B17" s="15" t="s">
        <v>26</v>
      </c>
      <c r="C17" s="27">
        <v>2.99</v>
      </c>
      <c r="D17" s="25">
        <f>C17*$K$4</f>
        <v>8450.6370000000006</v>
      </c>
      <c r="E17" s="25">
        <f>C17*$K$4</f>
        <v>8450.6370000000006</v>
      </c>
      <c r="F17" s="25">
        <f>C17*$K$4</f>
        <v>8450.6370000000006</v>
      </c>
      <c r="G17" s="20">
        <f t="shared" ref="G17:G29" si="8">SUM(D17:F17)</f>
        <v>25351.911</v>
      </c>
      <c r="H17" s="25">
        <f>C17*$K$4</f>
        <v>8450.6370000000006</v>
      </c>
      <c r="I17" s="27">
        <v>3.3</v>
      </c>
      <c r="J17" s="25">
        <f>I17*K4</f>
        <v>9326.7900000000009</v>
      </c>
      <c r="K17" s="25">
        <f>I17*K4</f>
        <v>9326.7900000000009</v>
      </c>
      <c r="L17" s="20">
        <f>SUM(H17:K17)</f>
        <v>27107.517</v>
      </c>
      <c r="M17" s="25">
        <f>I17*K4</f>
        <v>9326.7900000000009</v>
      </c>
      <c r="N17" s="28">
        <f>M17</f>
        <v>9326.7900000000009</v>
      </c>
      <c r="O17" s="28">
        <f>N17</f>
        <v>9326.7900000000009</v>
      </c>
      <c r="P17" s="20">
        <f>SUM(M17:O17)</f>
        <v>27980.370000000003</v>
      </c>
      <c r="Q17" s="28">
        <f>O17</f>
        <v>9326.7900000000009</v>
      </c>
      <c r="R17" s="28">
        <f>Q17</f>
        <v>9326.7900000000009</v>
      </c>
      <c r="S17" s="28">
        <f>R17</f>
        <v>9326.7900000000009</v>
      </c>
      <c r="T17" s="26">
        <f>SUM(Q17:S17)</f>
        <v>27980.370000000003</v>
      </c>
      <c r="U17" s="144">
        <f t="shared" si="7"/>
        <v>108420.16800000001</v>
      </c>
    </row>
    <row r="18" spans="1:22" s="13" customFormat="1" ht="15.75" thickBot="1">
      <c r="A18" s="146" t="s">
        <v>27</v>
      </c>
      <c r="B18" s="33" t="s">
        <v>30</v>
      </c>
      <c r="C18" s="48">
        <v>1.86</v>
      </c>
      <c r="D18" s="34">
        <f>C18*$K$4</f>
        <v>5256.9180000000006</v>
      </c>
      <c r="E18" s="34">
        <v>5257</v>
      </c>
      <c r="F18" s="34">
        <v>5257</v>
      </c>
      <c r="G18" s="66">
        <f t="shared" si="8"/>
        <v>15770.918000000001</v>
      </c>
      <c r="H18" s="34">
        <v>5257</v>
      </c>
      <c r="I18" s="48">
        <v>2.2000000000000002</v>
      </c>
      <c r="J18" s="34">
        <f>I18*K4</f>
        <v>6217.8600000000006</v>
      </c>
      <c r="K18" s="34">
        <f>I18*K4</f>
        <v>6217.8600000000006</v>
      </c>
      <c r="L18" s="66">
        <f t="shared" ref="L18:L29" si="9">SUM(H18:K18)</f>
        <v>17694.920000000002</v>
      </c>
      <c r="M18" s="34">
        <f>I18*K4</f>
        <v>6217.8600000000006</v>
      </c>
      <c r="N18" s="34">
        <f>I18*K4</f>
        <v>6217.8600000000006</v>
      </c>
      <c r="O18" s="34">
        <f>I18*K4</f>
        <v>6217.8600000000006</v>
      </c>
      <c r="P18" s="66">
        <f t="shared" ref="P18:P29" si="10">SUM(M18:O18)</f>
        <v>18653.580000000002</v>
      </c>
      <c r="Q18" s="34">
        <f>I18*K4</f>
        <v>6217.8600000000006</v>
      </c>
      <c r="R18" s="34">
        <f>I18*K4</f>
        <v>6217.8600000000006</v>
      </c>
      <c r="S18" s="34">
        <f>I18*K4</f>
        <v>6217.8600000000006</v>
      </c>
      <c r="T18" s="35">
        <f t="shared" ref="T18:T29" si="11">SUM(Q18:S18)</f>
        <v>18653.580000000002</v>
      </c>
      <c r="U18" s="147">
        <f t="shared" si="7"/>
        <v>70772.998000000007</v>
      </c>
    </row>
    <row r="19" spans="1:22" s="13" customFormat="1" ht="15.75" thickBot="1">
      <c r="A19" s="130" t="s">
        <v>28</v>
      </c>
      <c r="B19" s="131" t="s">
        <v>40</v>
      </c>
      <c r="C19" s="41"/>
      <c r="D19" s="38">
        <v>806</v>
      </c>
      <c r="E19" s="212">
        <v>441</v>
      </c>
      <c r="F19" s="38">
        <v>0</v>
      </c>
      <c r="G19" s="119">
        <f t="shared" si="8"/>
        <v>1247</v>
      </c>
      <c r="H19" s="40">
        <v>2290</v>
      </c>
      <c r="I19" s="41"/>
      <c r="J19" s="38">
        <v>0</v>
      </c>
      <c r="K19" s="38">
        <v>4075</v>
      </c>
      <c r="L19" s="119">
        <f t="shared" si="9"/>
        <v>6365</v>
      </c>
      <c r="M19" s="40">
        <v>9332</v>
      </c>
      <c r="N19" s="40">
        <v>9449</v>
      </c>
      <c r="O19" s="40">
        <v>0</v>
      </c>
      <c r="P19" s="119">
        <f t="shared" si="10"/>
        <v>18781</v>
      </c>
      <c r="Q19" s="40">
        <v>0</v>
      </c>
      <c r="R19" s="40">
        <v>4424</v>
      </c>
      <c r="S19" s="40">
        <v>2142</v>
      </c>
      <c r="T19" s="115">
        <f t="shared" si="11"/>
        <v>6566</v>
      </c>
      <c r="U19" s="125">
        <f t="shared" si="7"/>
        <v>32959</v>
      </c>
    </row>
    <row r="20" spans="1:22" s="13" customFormat="1">
      <c r="A20" s="148" t="s">
        <v>33</v>
      </c>
      <c r="B20" s="45" t="s">
        <v>39</v>
      </c>
      <c r="C20" s="89">
        <v>0.82</v>
      </c>
      <c r="D20" s="46">
        <f>C20*$K$4</f>
        <v>2317.5659999999998</v>
      </c>
      <c r="E20" s="46">
        <f>C20*$K$4</f>
        <v>2317.5659999999998</v>
      </c>
      <c r="F20" s="46">
        <f>C20*$K$4</f>
        <v>2317.5659999999998</v>
      </c>
      <c r="G20" s="98">
        <f t="shared" si="8"/>
        <v>6952.6979999999994</v>
      </c>
      <c r="H20" s="46">
        <f>C20*$K$4</f>
        <v>2317.5659999999998</v>
      </c>
      <c r="I20" s="89">
        <v>1</v>
      </c>
      <c r="J20" s="75">
        <f>I20*K4</f>
        <v>2826.3</v>
      </c>
      <c r="K20" s="75">
        <f>J20</f>
        <v>2826.3</v>
      </c>
      <c r="L20" s="124">
        <f t="shared" si="9"/>
        <v>7971.1660000000002</v>
      </c>
      <c r="M20" s="46">
        <f>K20</f>
        <v>2826.3</v>
      </c>
      <c r="N20" s="76">
        <f t="shared" ref="N20:O22" si="12">M20</f>
        <v>2826.3</v>
      </c>
      <c r="O20" s="76">
        <f t="shared" si="12"/>
        <v>2826.3</v>
      </c>
      <c r="P20" s="124">
        <f t="shared" si="10"/>
        <v>8478.9000000000015</v>
      </c>
      <c r="Q20" s="76">
        <f>O20</f>
        <v>2826.3</v>
      </c>
      <c r="R20" s="76">
        <f t="shared" ref="R20:S22" si="13">Q20</f>
        <v>2826.3</v>
      </c>
      <c r="S20" s="76">
        <f t="shared" si="13"/>
        <v>2826.3</v>
      </c>
      <c r="T20" s="77">
        <f t="shared" si="11"/>
        <v>8478.9000000000015</v>
      </c>
      <c r="U20" s="149">
        <f t="shared" si="7"/>
        <v>31881.664000000004</v>
      </c>
    </row>
    <row r="21" spans="1:22" s="13" customFormat="1">
      <c r="A21" s="143" t="s">
        <v>34</v>
      </c>
      <c r="B21" s="15" t="s">
        <v>41</v>
      </c>
      <c r="C21" s="27">
        <v>0.12</v>
      </c>
      <c r="D21" s="25">
        <f>C21*$K$4</f>
        <v>339.15600000000001</v>
      </c>
      <c r="E21" s="25">
        <f>C21*$K$4</f>
        <v>339.15600000000001</v>
      </c>
      <c r="F21" s="25">
        <f>C21*$K$4</f>
        <v>339.15600000000001</v>
      </c>
      <c r="G21" s="20">
        <f t="shared" si="8"/>
        <v>1017.4680000000001</v>
      </c>
      <c r="H21" s="25">
        <f>C21*$K$4</f>
        <v>339.15600000000001</v>
      </c>
      <c r="I21" s="27">
        <v>0.2</v>
      </c>
      <c r="J21" s="34">
        <f>I21*K4</f>
        <v>565.2600000000001</v>
      </c>
      <c r="K21" s="34">
        <f>J21</f>
        <v>565.2600000000001</v>
      </c>
      <c r="L21" s="66">
        <f t="shared" si="9"/>
        <v>1469.8760000000002</v>
      </c>
      <c r="M21" s="25">
        <f>K21</f>
        <v>565.2600000000001</v>
      </c>
      <c r="N21" s="28">
        <f t="shared" si="12"/>
        <v>565.2600000000001</v>
      </c>
      <c r="O21" s="28">
        <f t="shared" si="12"/>
        <v>565.2600000000001</v>
      </c>
      <c r="P21" s="66">
        <f t="shared" si="10"/>
        <v>1695.7800000000002</v>
      </c>
      <c r="Q21" s="28">
        <f>O21</f>
        <v>565.2600000000001</v>
      </c>
      <c r="R21" s="28">
        <f t="shared" si="13"/>
        <v>565.2600000000001</v>
      </c>
      <c r="S21" s="28">
        <f t="shared" si="13"/>
        <v>565.2600000000001</v>
      </c>
      <c r="T21" s="35">
        <f t="shared" si="11"/>
        <v>1695.7800000000002</v>
      </c>
      <c r="U21" s="144">
        <f t="shared" si="7"/>
        <v>5878.9040000000005</v>
      </c>
    </row>
    <row r="22" spans="1:22" s="13" customFormat="1">
      <c r="A22" s="143" t="s">
        <v>35</v>
      </c>
      <c r="B22" s="15" t="s">
        <v>89</v>
      </c>
      <c r="C22" s="27">
        <v>0.87</v>
      </c>
      <c r="D22" s="25">
        <f>C22*$K$4</f>
        <v>2458.8810000000003</v>
      </c>
      <c r="E22" s="25">
        <f>C22*$K$4</f>
        <v>2458.8810000000003</v>
      </c>
      <c r="F22" s="25">
        <f>C22*$K$4</f>
        <v>2458.8810000000003</v>
      </c>
      <c r="G22" s="20">
        <f t="shared" si="8"/>
        <v>7376.6430000000009</v>
      </c>
      <c r="H22" s="25">
        <f>C22*$K$4</f>
        <v>2458.8810000000003</v>
      </c>
      <c r="I22" s="27">
        <v>0.85</v>
      </c>
      <c r="J22" s="25">
        <f>I22*K4</f>
        <v>2402.355</v>
      </c>
      <c r="K22" s="25">
        <f>J22</f>
        <v>2402.355</v>
      </c>
      <c r="L22" s="66">
        <f t="shared" si="9"/>
        <v>7264.4410000000007</v>
      </c>
      <c r="M22" s="25">
        <f>K22</f>
        <v>2402.355</v>
      </c>
      <c r="N22" s="28">
        <f t="shared" si="12"/>
        <v>2402.355</v>
      </c>
      <c r="O22" s="28">
        <f t="shared" si="12"/>
        <v>2402.355</v>
      </c>
      <c r="P22" s="66">
        <f t="shared" si="10"/>
        <v>7207.0650000000005</v>
      </c>
      <c r="Q22" s="28">
        <f>O22</f>
        <v>2402.355</v>
      </c>
      <c r="R22" s="28">
        <f t="shared" si="13"/>
        <v>2402.355</v>
      </c>
      <c r="S22" s="28">
        <f t="shared" si="13"/>
        <v>2402.355</v>
      </c>
      <c r="T22" s="35">
        <f>S22</f>
        <v>2402.355</v>
      </c>
      <c r="U22" s="144">
        <f t="shared" si="7"/>
        <v>24250.504000000004</v>
      </c>
    </row>
    <row r="23" spans="1:22" s="13" customFormat="1">
      <c r="A23" s="143" t="s">
        <v>101</v>
      </c>
      <c r="B23" s="15" t="s">
        <v>84</v>
      </c>
      <c r="C23" s="27"/>
      <c r="D23" s="25">
        <f>SUM(D25:D29)</f>
        <v>0</v>
      </c>
      <c r="E23" s="25">
        <f>SUM(E25:E29)</f>
        <v>0</v>
      </c>
      <c r="F23" s="25">
        <f>SUM(F25:F29)</f>
        <v>0</v>
      </c>
      <c r="G23" s="20">
        <f t="shared" si="8"/>
        <v>0</v>
      </c>
      <c r="H23" s="25">
        <f>SUM(H25:H29)</f>
        <v>0</v>
      </c>
      <c r="I23" s="27"/>
      <c r="J23" s="25">
        <f>SUM(J25:J29)</f>
        <v>0</v>
      </c>
      <c r="K23" s="29">
        <f>SUM(K25:K29)</f>
        <v>213.99</v>
      </c>
      <c r="L23" s="66">
        <f t="shared" si="9"/>
        <v>213.99</v>
      </c>
      <c r="M23" s="25">
        <f>SUM(M25:M29)</f>
        <v>0</v>
      </c>
      <c r="N23" s="28">
        <f>SUM(N25:N29)</f>
        <v>0</v>
      </c>
      <c r="O23" s="28">
        <f>SUM(O25:O29)</f>
        <v>0</v>
      </c>
      <c r="P23" s="66">
        <f t="shared" si="10"/>
        <v>0</v>
      </c>
      <c r="Q23" s="28">
        <f>SUM(Q25:Q29)</f>
        <v>0</v>
      </c>
      <c r="R23" s="28">
        <f>SUM(R25:R29)</f>
        <v>0</v>
      </c>
      <c r="S23" s="28">
        <f>SUM(S25:S29)</f>
        <v>0</v>
      </c>
      <c r="T23" s="35">
        <f t="shared" si="11"/>
        <v>0</v>
      </c>
      <c r="U23" s="144">
        <f t="shared" si="7"/>
        <v>213.99</v>
      </c>
    </row>
    <row r="24" spans="1:22" s="13" customFormat="1">
      <c r="A24" s="143"/>
      <c r="B24" s="15" t="s">
        <v>44</v>
      </c>
      <c r="C24" s="27"/>
      <c r="D24" s="25"/>
      <c r="E24" s="25"/>
      <c r="F24" s="25"/>
      <c r="G24" s="20">
        <f t="shared" si="8"/>
        <v>0</v>
      </c>
      <c r="H24" s="28"/>
      <c r="I24" s="27"/>
      <c r="J24" s="25"/>
      <c r="K24" s="25"/>
      <c r="L24" s="66">
        <f t="shared" si="9"/>
        <v>0</v>
      </c>
      <c r="M24" s="28"/>
      <c r="N24" s="28"/>
      <c r="O24" s="28"/>
      <c r="P24" s="66">
        <f t="shared" si="10"/>
        <v>0</v>
      </c>
      <c r="Q24" s="28"/>
      <c r="R24" s="28"/>
      <c r="S24" s="28"/>
      <c r="T24" s="35">
        <f t="shared" si="11"/>
        <v>0</v>
      </c>
      <c r="U24" s="144">
        <f t="shared" si="7"/>
        <v>0</v>
      </c>
    </row>
    <row r="25" spans="1:22" s="13" customFormat="1">
      <c r="A25" s="143"/>
      <c r="B25" s="15" t="s">
        <v>48</v>
      </c>
      <c r="C25" s="27"/>
      <c r="D25" s="25"/>
      <c r="E25" s="25"/>
      <c r="F25" s="25"/>
      <c r="G25" s="20">
        <f t="shared" si="8"/>
        <v>0</v>
      </c>
      <c r="H25" s="28"/>
      <c r="I25" s="27"/>
      <c r="J25" s="25"/>
      <c r="K25" s="25"/>
      <c r="L25" s="66">
        <f t="shared" si="9"/>
        <v>0</v>
      </c>
      <c r="M25" s="28"/>
      <c r="N25" s="28"/>
      <c r="O25" s="30"/>
      <c r="P25" s="66">
        <f t="shared" si="10"/>
        <v>0</v>
      </c>
      <c r="Q25" s="28"/>
      <c r="R25" s="28"/>
      <c r="S25" s="28"/>
      <c r="T25" s="35">
        <f t="shared" si="11"/>
        <v>0</v>
      </c>
      <c r="U25" s="144">
        <f t="shared" si="7"/>
        <v>0</v>
      </c>
    </row>
    <row r="26" spans="1:22" s="13" customFormat="1">
      <c r="A26" s="143"/>
      <c r="B26" s="15" t="s">
        <v>58</v>
      </c>
      <c r="C26" s="27"/>
      <c r="D26" s="25"/>
      <c r="E26" s="25"/>
      <c r="F26" s="25"/>
      <c r="G26" s="20">
        <f t="shared" si="8"/>
        <v>0</v>
      </c>
      <c r="H26" s="28"/>
      <c r="I26" s="27"/>
      <c r="J26" s="25"/>
      <c r="K26" s="25"/>
      <c r="L26" s="66">
        <f t="shared" si="9"/>
        <v>0</v>
      </c>
      <c r="M26" s="28"/>
      <c r="N26" s="28"/>
      <c r="O26" s="30"/>
      <c r="P26" s="66">
        <f t="shared" si="10"/>
        <v>0</v>
      </c>
      <c r="Q26" s="28"/>
      <c r="R26" s="28"/>
      <c r="S26" s="28"/>
      <c r="T26" s="35">
        <f t="shared" si="11"/>
        <v>0</v>
      </c>
      <c r="U26" s="144">
        <f t="shared" si="7"/>
        <v>0</v>
      </c>
    </row>
    <row r="27" spans="1:22" s="13" customFormat="1">
      <c r="A27" s="143"/>
      <c r="B27" s="15" t="s">
        <v>51</v>
      </c>
      <c r="C27" s="27"/>
      <c r="D27" s="25"/>
      <c r="E27" s="25"/>
      <c r="F27" s="25"/>
      <c r="G27" s="20">
        <f t="shared" si="8"/>
        <v>0</v>
      </c>
      <c r="H27" s="28"/>
      <c r="I27" s="27"/>
      <c r="J27" s="25"/>
      <c r="K27" s="25"/>
      <c r="L27" s="66">
        <f t="shared" si="9"/>
        <v>0</v>
      </c>
      <c r="M27" s="28"/>
      <c r="N27" s="28"/>
      <c r="O27" s="28"/>
      <c r="P27" s="66">
        <f t="shared" si="10"/>
        <v>0</v>
      </c>
      <c r="Q27" s="28"/>
      <c r="R27" s="28"/>
      <c r="S27" s="28"/>
      <c r="T27" s="35">
        <f t="shared" si="11"/>
        <v>0</v>
      </c>
      <c r="U27" s="144">
        <f t="shared" si="7"/>
        <v>0</v>
      </c>
    </row>
    <row r="28" spans="1:22" s="13" customFormat="1">
      <c r="A28" s="143"/>
      <c r="B28" s="15" t="s">
        <v>83</v>
      </c>
      <c r="C28" s="27"/>
      <c r="D28" s="25"/>
      <c r="E28" s="25"/>
      <c r="F28" s="25"/>
      <c r="G28" s="20"/>
      <c r="H28" s="28"/>
      <c r="I28" s="27"/>
      <c r="J28" s="25"/>
      <c r="K28" s="29">
        <v>213.99</v>
      </c>
      <c r="L28" s="66"/>
      <c r="M28" s="28"/>
      <c r="N28" s="28"/>
      <c r="O28" s="28"/>
      <c r="P28" s="66"/>
      <c r="Q28" s="28"/>
      <c r="R28" s="28"/>
      <c r="S28" s="28"/>
      <c r="T28" s="35"/>
      <c r="U28" s="144"/>
    </row>
    <row r="29" spans="1:22" s="13" customFormat="1">
      <c r="A29" s="143"/>
      <c r="B29" s="15" t="s">
        <v>53</v>
      </c>
      <c r="C29" s="27"/>
      <c r="D29" s="25"/>
      <c r="E29" s="25"/>
      <c r="F29" s="25"/>
      <c r="G29" s="20">
        <f t="shared" si="8"/>
        <v>0</v>
      </c>
      <c r="H29" s="28"/>
      <c r="I29" s="27"/>
      <c r="J29" s="25"/>
      <c r="K29" s="25"/>
      <c r="L29" s="66">
        <f t="shared" si="9"/>
        <v>0</v>
      </c>
      <c r="M29" s="28"/>
      <c r="N29" s="28"/>
      <c r="O29" s="28"/>
      <c r="P29" s="66">
        <f t="shared" si="10"/>
        <v>0</v>
      </c>
      <c r="Q29" s="28"/>
      <c r="R29" s="28"/>
      <c r="S29" s="28"/>
      <c r="T29" s="35">
        <f t="shared" si="11"/>
        <v>0</v>
      </c>
      <c r="U29" s="144">
        <f t="shared" si="7"/>
        <v>0</v>
      </c>
    </row>
    <row r="30" spans="1:22" s="13" customFormat="1" ht="15.75" thickBot="1">
      <c r="A30" s="150"/>
      <c r="B30" s="151" t="s">
        <v>43</v>
      </c>
      <c r="C30" s="161"/>
      <c r="D30" s="153"/>
      <c r="E30" s="154"/>
      <c r="F30" s="154"/>
      <c r="G30" s="155">
        <f>G11-G15</f>
        <v>23041.300999999992</v>
      </c>
      <c r="H30" s="156"/>
      <c r="I30" s="161"/>
      <c r="J30" s="154"/>
      <c r="K30" s="154"/>
      <c r="L30" s="155">
        <f>L11-L15</f>
        <v>31388.589999999997</v>
      </c>
      <c r="M30" s="157"/>
      <c r="N30" s="157"/>
      <c r="O30" s="156"/>
      <c r="P30" s="155">
        <f>P11-P15</f>
        <v>10294.52499999998</v>
      </c>
      <c r="Q30" s="156"/>
      <c r="R30" s="156"/>
      <c r="S30" s="156"/>
      <c r="T30" s="157">
        <f>T11-T15</f>
        <v>-94322.615000000005</v>
      </c>
      <c r="U30" s="158">
        <f t="shared" si="7"/>
        <v>-29598.199000000037</v>
      </c>
      <c r="V30" s="126"/>
    </row>
    <row r="31" spans="1:22" s="13" customFormat="1"/>
    <row r="32" spans="1:22">
      <c r="E32" s="102"/>
    </row>
  </sheetData>
  <mergeCells count="4">
    <mergeCell ref="A1:L1"/>
    <mergeCell ref="A2:L2"/>
    <mergeCell ref="A3:L3"/>
    <mergeCell ref="R3:V3"/>
  </mergeCells>
  <pageMargins left="0.25" right="0.25" top="0.75" bottom="0.75" header="0.3" footer="0.3"/>
  <pageSetup paperSize="9" scale="5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3"/>
  <sheetViews>
    <sheetView zoomScaleNormal="100" workbookViewId="0">
      <selection activeCell="F36" sqref="F36"/>
    </sheetView>
  </sheetViews>
  <sheetFormatPr defaultRowHeight="15"/>
  <cols>
    <col min="1" max="1" width="4.28515625" customWidth="1"/>
    <col min="2" max="2" width="34.42578125" customWidth="1"/>
    <col min="3" max="3" width="11" customWidth="1"/>
    <col min="4" max="5" width="10.140625" customWidth="1"/>
    <col min="6" max="6" width="10.7109375" customWidth="1"/>
    <col min="7" max="8" width="9.28515625" customWidth="1"/>
    <col min="9" max="9" width="9.140625" customWidth="1"/>
    <col min="10" max="10" width="8.7109375" customWidth="1"/>
    <col min="11" max="11" width="8.42578125" customWidth="1"/>
    <col min="12" max="13" width="9.28515625" customWidth="1"/>
    <col min="14" max="15" width="9.140625" customWidth="1"/>
    <col min="16" max="16" width="9.7109375" customWidth="1"/>
    <col min="17" max="20" width="9.140625" customWidth="1"/>
    <col min="21" max="21" width="9.42578125" customWidth="1"/>
    <col min="22" max="30" width="9.140625" customWidth="1"/>
  </cols>
  <sheetData>
    <row r="1" spans="1:24" s="13" customForma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1"/>
      <c r="T1" s="13" t="s">
        <v>94</v>
      </c>
    </row>
    <row r="2" spans="1:24" s="13" customFormat="1">
      <c r="A2" s="368" t="s">
        <v>139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1"/>
      <c r="T2" s="13" t="s">
        <v>95</v>
      </c>
    </row>
    <row r="3" spans="1:24" s="13" customFormat="1">
      <c r="A3" s="370" t="s">
        <v>135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65"/>
      <c r="T3" s="373" t="s">
        <v>138</v>
      </c>
      <c r="U3" s="373"/>
      <c r="V3" s="373"/>
      <c r="W3" s="373"/>
      <c r="X3" s="373"/>
    </row>
    <row r="4" spans="1:24" s="13" customFormat="1" ht="15.75" thickBot="1">
      <c r="B4" s="13" t="s">
        <v>79</v>
      </c>
      <c r="K4" s="13">
        <f>5674.22+61.3-1.12</f>
        <v>5734.4000000000005</v>
      </c>
    </row>
    <row r="5" spans="1:24" s="13" customFormat="1">
      <c r="A5" s="134"/>
      <c r="B5" s="135" t="s">
        <v>2</v>
      </c>
      <c r="C5" s="223" t="s">
        <v>3</v>
      </c>
      <c r="D5" s="135" t="s">
        <v>4</v>
      </c>
      <c r="E5" s="223" t="s">
        <v>3</v>
      </c>
      <c r="F5" s="135" t="s">
        <v>5</v>
      </c>
      <c r="G5" s="135" t="s">
        <v>6</v>
      </c>
      <c r="H5" s="137" t="s">
        <v>7</v>
      </c>
      <c r="I5" s="138" t="s">
        <v>8</v>
      </c>
      <c r="J5" s="135" t="s">
        <v>9</v>
      </c>
      <c r="K5" s="135" t="s">
        <v>10</v>
      </c>
      <c r="L5" s="139" t="s">
        <v>11</v>
      </c>
      <c r="M5" s="223" t="s">
        <v>3</v>
      </c>
      <c r="N5" s="138" t="s">
        <v>54</v>
      </c>
      <c r="O5" s="138" t="s">
        <v>55</v>
      </c>
      <c r="P5" s="138" t="s">
        <v>56</v>
      </c>
      <c r="Q5" s="139" t="s">
        <v>57</v>
      </c>
      <c r="R5" s="138" t="s">
        <v>63</v>
      </c>
      <c r="S5" s="138" t="s">
        <v>64</v>
      </c>
      <c r="T5" s="138" t="s">
        <v>65</v>
      </c>
      <c r="U5" s="139" t="s">
        <v>66</v>
      </c>
      <c r="V5" s="140" t="s">
        <v>71</v>
      </c>
    </row>
    <row r="6" spans="1:24" s="13" customFormat="1" ht="25.5" customHeight="1">
      <c r="A6" s="141" t="s">
        <v>12</v>
      </c>
      <c r="B6" s="19" t="s">
        <v>13</v>
      </c>
      <c r="C6" s="224"/>
      <c r="D6" s="20">
        <f>SUM(D7:D10)</f>
        <v>104767.48799999998</v>
      </c>
      <c r="E6" s="224"/>
      <c r="F6" s="20">
        <f t="shared" ref="F6:U6" si="0">SUM(F7:F10)</f>
        <v>104767.48800000001</v>
      </c>
      <c r="G6" s="20">
        <f t="shared" si="0"/>
        <v>104767.48800000001</v>
      </c>
      <c r="H6" s="20">
        <f t="shared" si="0"/>
        <v>314320.73400000005</v>
      </c>
      <c r="I6" s="20">
        <f t="shared" si="0"/>
        <v>104767.48800000001</v>
      </c>
      <c r="J6" s="20">
        <f t="shared" si="0"/>
        <v>104767.48800000001</v>
      </c>
      <c r="K6" s="20">
        <f t="shared" si="0"/>
        <v>104767.48800000001</v>
      </c>
      <c r="L6" s="20">
        <f t="shared" si="0"/>
        <v>314302.46400000004</v>
      </c>
      <c r="M6" s="224"/>
      <c r="N6" s="20">
        <f t="shared" si="0"/>
        <v>108896.25599999999</v>
      </c>
      <c r="O6" s="20">
        <f t="shared" si="0"/>
        <v>108896.25599999999</v>
      </c>
      <c r="P6" s="20">
        <f t="shared" si="0"/>
        <v>108896.25599999999</v>
      </c>
      <c r="Q6" s="20">
        <f t="shared" si="0"/>
        <v>326688.76799999998</v>
      </c>
      <c r="R6" s="20">
        <f t="shared" si="0"/>
        <v>108896.25599999999</v>
      </c>
      <c r="S6" s="20">
        <f t="shared" si="0"/>
        <v>108896.25599999999</v>
      </c>
      <c r="T6" s="20">
        <f t="shared" si="0"/>
        <v>108896.25599999999</v>
      </c>
      <c r="U6" s="20">
        <f t="shared" si="0"/>
        <v>326688.76799999998</v>
      </c>
      <c r="V6" s="142">
        <f t="shared" ref="V6:V11" si="1">H6+L6+Q6+U6</f>
        <v>1282000.7339999999</v>
      </c>
    </row>
    <row r="7" spans="1:24" s="13" customFormat="1">
      <c r="A7" s="143" t="s">
        <v>14</v>
      </c>
      <c r="B7" s="15" t="s">
        <v>15</v>
      </c>
      <c r="C7" s="225">
        <v>13.27</v>
      </c>
      <c r="D7" s="25">
        <f>C7*$K$4</f>
        <v>76095.487999999998</v>
      </c>
      <c r="E7" s="225">
        <v>12.55</v>
      </c>
      <c r="F7" s="25">
        <f>E7*K4</f>
        <v>71966.720000000016</v>
      </c>
      <c r="G7" s="25">
        <f>F7</f>
        <v>71966.720000000016</v>
      </c>
      <c r="H7" s="20">
        <f>SUM(D7:G7)</f>
        <v>220041.47800000006</v>
      </c>
      <c r="I7" s="25">
        <f>G7</f>
        <v>71966.720000000016</v>
      </c>
      <c r="J7" s="25">
        <f>I7</f>
        <v>71966.720000000016</v>
      </c>
      <c r="K7" s="25">
        <f>J7</f>
        <v>71966.720000000016</v>
      </c>
      <c r="L7" s="22">
        <f>I7+J7+K7</f>
        <v>215900.16000000003</v>
      </c>
      <c r="M7" s="225">
        <v>13.27</v>
      </c>
      <c r="N7" s="25">
        <f>M7*K4</f>
        <v>76095.487999999998</v>
      </c>
      <c r="O7" s="28">
        <f>N7</f>
        <v>76095.487999999998</v>
      </c>
      <c r="P7" s="28">
        <f>O7</f>
        <v>76095.487999999998</v>
      </c>
      <c r="Q7" s="22">
        <f>SUM(N7:P7)</f>
        <v>228286.46399999998</v>
      </c>
      <c r="R7" s="28">
        <f>P7</f>
        <v>76095.487999999998</v>
      </c>
      <c r="S7" s="28">
        <f t="shared" ref="S7:T10" si="2">R7</f>
        <v>76095.487999999998</v>
      </c>
      <c r="T7" s="28">
        <f t="shared" si="2"/>
        <v>76095.487999999998</v>
      </c>
      <c r="U7" s="22">
        <f>SUM(R7:T7)</f>
        <v>228286.46399999998</v>
      </c>
      <c r="V7" s="144">
        <f t="shared" si="1"/>
        <v>892514.56600000011</v>
      </c>
    </row>
    <row r="8" spans="1:24" s="13" customFormat="1">
      <c r="A8" s="143" t="s">
        <v>16</v>
      </c>
      <c r="B8" s="15" t="s">
        <v>17</v>
      </c>
      <c r="C8" s="225">
        <v>2.57</v>
      </c>
      <c r="D8" s="25">
        <f t="shared" ref="D8:D10" si="3">C8*$K$4</f>
        <v>14737.408000000001</v>
      </c>
      <c r="E8" s="225">
        <v>2.8</v>
      </c>
      <c r="F8" s="25">
        <f>E8*K4</f>
        <v>16056.32</v>
      </c>
      <c r="G8" s="25">
        <f>E8*K4</f>
        <v>16056.32</v>
      </c>
      <c r="H8" s="20">
        <f t="shared" ref="H8:H10" si="4">SUM(D8:G8)</f>
        <v>46852.847999999998</v>
      </c>
      <c r="I8" s="25">
        <f>E8*K4</f>
        <v>16056.32</v>
      </c>
      <c r="J8" s="25">
        <f>E8*K4</f>
        <v>16056.32</v>
      </c>
      <c r="K8" s="25">
        <f>E8*K4</f>
        <v>16056.32</v>
      </c>
      <c r="L8" s="22">
        <f>I8+J8+K8</f>
        <v>48168.959999999999</v>
      </c>
      <c r="M8" s="225">
        <v>2.8</v>
      </c>
      <c r="N8" s="25">
        <f>E8*K4</f>
        <v>16056.32</v>
      </c>
      <c r="O8" s="25">
        <f>E8*K4</f>
        <v>16056.32</v>
      </c>
      <c r="P8" s="25">
        <f>E8*K4</f>
        <v>16056.32</v>
      </c>
      <c r="Q8" s="22">
        <f t="shared" ref="Q8:Q10" si="5">SUM(N8:P8)</f>
        <v>48168.959999999999</v>
      </c>
      <c r="R8" s="25">
        <f>E8*K4</f>
        <v>16056.32</v>
      </c>
      <c r="S8" s="25">
        <f>E8*K4</f>
        <v>16056.32</v>
      </c>
      <c r="T8" s="25">
        <f>E8*K4</f>
        <v>16056.32</v>
      </c>
      <c r="U8" s="22">
        <f t="shared" ref="U8:U10" si="6">SUM(R8:T8)</f>
        <v>48168.959999999999</v>
      </c>
      <c r="V8" s="144">
        <f t="shared" si="1"/>
        <v>191359.72799999997</v>
      </c>
    </row>
    <row r="9" spans="1:24" s="13" customFormat="1">
      <c r="A9" s="143" t="s">
        <v>18</v>
      </c>
      <c r="B9" s="15" t="s">
        <v>30</v>
      </c>
      <c r="C9" s="225">
        <v>1.86</v>
      </c>
      <c r="D9" s="25">
        <f t="shared" ref="D9" si="7">C9*$K$4</f>
        <v>10665.984000000002</v>
      </c>
      <c r="E9" s="225">
        <v>2.5</v>
      </c>
      <c r="F9" s="25">
        <f>E9*K4</f>
        <v>14336.000000000002</v>
      </c>
      <c r="G9" s="25">
        <f>E9*K4</f>
        <v>14336.000000000002</v>
      </c>
      <c r="H9" s="20">
        <f t="shared" si="4"/>
        <v>39340.484000000004</v>
      </c>
      <c r="I9" s="25">
        <f>E9*K4</f>
        <v>14336.000000000002</v>
      </c>
      <c r="J9" s="25">
        <f>E9*K4</f>
        <v>14336.000000000002</v>
      </c>
      <c r="K9" s="25">
        <f>E9*K4</f>
        <v>14336.000000000002</v>
      </c>
      <c r="L9" s="22">
        <f>I9+J9+K9</f>
        <v>43008.000000000007</v>
      </c>
      <c r="M9" s="225">
        <v>2.5</v>
      </c>
      <c r="N9" s="25">
        <f>E9*K4</f>
        <v>14336.000000000002</v>
      </c>
      <c r="O9" s="25">
        <f>E9*K4</f>
        <v>14336.000000000002</v>
      </c>
      <c r="P9" s="25">
        <f>E9*K4</f>
        <v>14336.000000000002</v>
      </c>
      <c r="Q9" s="22">
        <f t="shared" si="5"/>
        <v>43008.000000000007</v>
      </c>
      <c r="R9" s="25">
        <f>E9*K4</f>
        <v>14336.000000000002</v>
      </c>
      <c r="S9" s="25">
        <f>E9*K4</f>
        <v>14336.000000000002</v>
      </c>
      <c r="T9" s="25">
        <f>E9*K4</f>
        <v>14336.000000000002</v>
      </c>
      <c r="U9" s="22">
        <f t="shared" si="6"/>
        <v>43008.000000000007</v>
      </c>
      <c r="V9" s="144">
        <f t="shared" si="1"/>
        <v>168364.48400000003</v>
      </c>
    </row>
    <row r="10" spans="1:24" s="13" customFormat="1" ht="15.75" thickBot="1">
      <c r="A10" s="146" t="s">
        <v>31</v>
      </c>
      <c r="B10" s="33" t="s">
        <v>19</v>
      </c>
      <c r="C10" s="226">
        <v>0.56999999999999995</v>
      </c>
      <c r="D10" s="34">
        <f t="shared" si="3"/>
        <v>3268.6080000000002</v>
      </c>
      <c r="E10" s="226">
        <v>0.42</v>
      </c>
      <c r="F10" s="34">
        <f>E10*K4</f>
        <v>2408.4480000000003</v>
      </c>
      <c r="G10" s="34">
        <f>F10</f>
        <v>2408.4480000000003</v>
      </c>
      <c r="H10" s="66">
        <f t="shared" si="4"/>
        <v>8085.9240000000009</v>
      </c>
      <c r="I10" s="34">
        <f>G10</f>
        <v>2408.4480000000003</v>
      </c>
      <c r="J10" s="34">
        <f>I10</f>
        <v>2408.4480000000003</v>
      </c>
      <c r="K10" s="34">
        <f>J10</f>
        <v>2408.4480000000003</v>
      </c>
      <c r="L10" s="84">
        <f>I10+J10+K10</f>
        <v>7225.344000000001</v>
      </c>
      <c r="M10" s="226">
        <v>0.42</v>
      </c>
      <c r="N10" s="34">
        <f>K10</f>
        <v>2408.4480000000003</v>
      </c>
      <c r="O10" s="58">
        <f>N10</f>
        <v>2408.4480000000003</v>
      </c>
      <c r="P10" s="58">
        <f>O10</f>
        <v>2408.4480000000003</v>
      </c>
      <c r="Q10" s="84">
        <f t="shared" si="5"/>
        <v>7225.344000000001</v>
      </c>
      <c r="R10" s="58">
        <f>P10</f>
        <v>2408.4480000000003</v>
      </c>
      <c r="S10" s="58">
        <f t="shared" si="2"/>
        <v>2408.4480000000003</v>
      </c>
      <c r="T10" s="58">
        <f t="shared" si="2"/>
        <v>2408.4480000000003</v>
      </c>
      <c r="U10" s="84">
        <f t="shared" si="6"/>
        <v>7225.344000000001</v>
      </c>
      <c r="V10" s="147">
        <f t="shared" si="1"/>
        <v>29761.956000000002</v>
      </c>
    </row>
    <row r="11" spans="1:24" s="13" customFormat="1" ht="15.75" thickBot="1">
      <c r="A11" s="36" t="s">
        <v>32</v>
      </c>
      <c r="B11" s="37" t="s">
        <v>20</v>
      </c>
      <c r="C11" s="241"/>
      <c r="D11" s="38">
        <v>109155.83</v>
      </c>
      <c r="E11" s="241"/>
      <c r="F11" s="38">
        <v>93779.4</v>
      </c>
      <c r="G11" s="38">
        <v>91589.19</v>
      </c>
      <c r="H11" s="119">
        <f>D11+F11+G11</f>
        <v>294524.42</v>
      </c>
      <c r="I11" s="40">
        <v>122101.77</v>
      </c>
      <c r="J11" s="38">
        <v>101563.74</v>
      </c>
      <c r="K11" s="38">
        <v>104825.38</v>
      </c>
      <c r="L11" s="68">
        <f>I11+J11+K11+K12</f>
        <v>335090.89</v>
      </c>
      <c r="M11" s="241"/>
      <c r="N11" s="40">
        <v>121381.59</v>
      </c>
      <c r="O11" s="40">
        <v>104499.87</v>
      </c>
      <c r="P11" s="40">
        <v>106107.02</v>
      </c>
      <c r="Q11" s="68">
        <f>N11+O11+P11</f>
        <v>331988.47999999998</v>
      </c>
      <c r="R11" s="40">
        <v>113577.8</v>
      </c>
      <c r="S11" s="40">
        <v>100218.09</v>
      </c>
      <c r="T11" s="40">
        <v>117779.87</v>
      </c>
      <c r="U11" s="68">
        <f>R11+S11+T11+T12</f>
        <v>339975.76</v>
      </c>
      <c r="V11" s="125">
        <f t="shared" si="1"/>
        <v>1301579.55</v>
      </c>
    </row>
    <row r="12" spans="1:24" s="13" customFormat="1">
      <c r="A12" s="148"/>
      <c r="B12" s="45" t="s">
        <v>72</v>
      </c>
      <c r="C12" s="228"/>
      <c r="D12" s="46"/>
      <c r="E12" s="228"/>
      <c r="F12" s="46"/>
      <c r="G12" s="239"/>
      <c r="H12" s="98"/>
      <c r="I12" s="76"/>
      <c r="J12" s="46"/>
      <c r="K12" s="232">
        <v>6600</v>
      </c>
      <c r="L12" s="85"/>
      <c r="M12" s="228"/>
      <c r="N12" s="76"/>
      <c r="O12" s="76"/>
      <c r="P12" s="76"/>
      <c r="Q12" s="85"/>
      <c r="R12" s="76"/>
      <c r="S12" s="76"/>
      <c r="T12" s="231">
        <f>6600+1800</f>
        <v>8400</v>
      </c>
      <c r="U12" s="85"/>
      <c r="V12" s="149"/>
    </row>
    <row r="13" spans="1:24" s="13" customFormat="1">
      <c r="A13" s="143"/>
      <c r="B13" s="15" t="s">
        <v>21</v>
      </c>
      <c r="C13" s="225"/>
      <c r="D13" s="25">
        <f>D11-D6</f>
        <v>4388.3420000000187</v>
      </c>
      <c r="E13" s="225"/>
      <c r="F13" s="25">
        <f t="shared" ref="F13:K13" si="8">F11-F6</f>
        <v>-10988.088000000018</v>
      </c>
      <c r="G13" s="25">
        <f t="shared" si="8"/>
        <v>-13178.29800000001</v>
      </c>
      <c r="H13" s="22">
        <f t="shared" si="8"/>
        <v>-19796.314000000071</v>
      </c>
      <c r="I13" s="28">
        <f t="shared" si="8"/>
        <v>17334.281999999992</v>
      </c>
      <c r="J13" s="25">
        <f t="shared" si="8"/>
        <v>-3203.7480000000069</v>
      </c>
      <c r="K13" s="25">
        <f t="shared" si="8"/>
        <v>57.891999999992549</v>
      </c>
      <c r="L13" s="22">
        <f>SUM(I13:K13)</f>
        <v>14188.425999999978</v>
      </c>
      <c r="M13" s="225"/>
      <c r="N13" s="28">
        <f>N11-N6</f>
        <v>12485.334000000003</v>
      </c>
      <c r="O13" s="28">
        <f>O11-O6</f>
        <v>-4396.3859999999986</v>
      </c>
      <c r="P13" s="28">
        <f>P11-P6</f>
        <v>-2789.2359999999899</v>
      </c>
      <c r="Q13" s="22">
        <f>SUM(N13:P13)</f>
        <v>5299.7120000000141</v>
      </c>
      <c r="R13" s="28">
        <f>R11-R6</f>
        <v>4681.544000000009</v>
      </c>
      <c r="S13" s="28">
        <f>S11-S6</f>
        <v>-8678.1659999999974</v>
      </c>
      <c r="T13" s="28">
        <f>T11-T6</f>
        <v>8883.6140000000014</v>
      </c>
      <c r="U13" s="22">
        <f>SUM(R13:T13)</f>
        <v>4886.9920000000129</v>
      </c>
      <c r="V13" s="144">
        <f t="shared" ref="V13:V32" si="9">H13+L13+Q13+U13</f>
        <v>4578.8159999999334</v>
      </c>
    </row>
    <row r="14" spans="1:24" s="13" customFormat="1">
      <c r="A14" s="143"/>
      <c r="B14" s="15"/>
      <c r="C14" s="225"/>
      <c r="D14" s="25"/>
      <c r="E14" s="225"/>
      <c r="F14" s="25"/>
      <c r="G14" s="25"/>
      <c r="H14" s="20"/>
      <c r="I14" s="28"/>
      <c r="J14" s="25"/>
      <c r="K14" s="25"/>
      <c r="L14" s="22"/>
      <c r="M14" s="225"/>
      <c r="N14" s="28"/>
      <c r="O14" s="28"/>
      <c r="P14" s="28"/>
      <c r="Q14" s="22"/>
      <c r="R14" s="28"/>
      <c r="S14" s="28"/>
      <c r="T14" s="28"/>
      <c r="U14" s="22"/>
      <c r="V14" s="144">
        <f t="shared" si="9"/>
        <v>0</v>
      </c>
    </row>
    <row r="15" spans="1:24" s="13" customFormat="1" ht="25.5" customHeight="1">
      <c r="A15" s="143" t="s">
        <v>22</v>
      </c>
      <c r="B15" s="15" t="s">
        <v>23</v>
      </c>
      <c r="C15" s="225"/>
      <c r="D15" s="25">
        <f>SUM(D16:D24)</f>
        <v>61485.192000000003</v>
      </c>
      <c r="E15" s="225"/>
      <c r="F15" s="25">
        <f>SUM(F16:F24)</f>
        <v>75065.90400000001</v>
      </c>
      <c r="G15" s="25">
        <f>SUM(G16:G24)</f>
        <v>71258.90400000001</v>
      </c>
      <c r="H15" s="20">
        <f>SUM(D15:G15)</f>
        <v>207810.00000000003</v>
      </c>
      <c r="I15" s="25">
        <f>SUM(I16:I24)</f>
        <v>119542.90400000001</v>
      </c>
      <c r="J15" s="25">
        <f>SUM(J16:J24)</f>
        <v>82521.90400000001</v>
      </c>
      <c r="K15" s="25">
        <f>SUM(K16:K24)</f>
        <v>78649.784000000014</v>
      </c>
      <c r="L15" s="22">
        <f t="shared" ref="L15:L30" si="10">I15+J15+K15</f>
        <v>280714.59200000006</v>
      </c>
      <c r="M15" s="225"/>
      <c r="N15" s="25">
        <f>SUM(N16:N24)</f>
        <v>74550.90400000001</v>
      </c>
      <c r="O15" s="28">
        <f>SUM(O16:O24)</f>
        <v>71163.90400000001</v>
      </c>
      <c r="P15" s="28">
        <f>SUM(P16:P24)</f>
        <v>78958.90400000001</v>
      </c>
      <c r="Q15" s="20">
        <f>SUM(N15:P15)</f>
        <v>224673.71200000003</v>
      </c>
      <c r="R15" s="28">
        <f>SUM(R16:R24)</f>
        <v>92085.90400000001</v>
      </c>
      <c r="S15" s="28">
        <f>SUM(S16:S24)</f>
        <v>77409.90400000001</v>
      </c>
      <c r="T15" s="28">
        <f>SUM(T16:T24)</f>
        <v>85484.90400000001</v>
      </c>
      <c r="U15" s="20">
        <f>SUM(R15:T15)</f>
        <v>254980.71200000003</v>
      </c>
      <c r="V15" s="144">
        <f t="shared" si="9"/>
        <v>968179.01600000018</v>
      </c>
    </row>
    <row r="16" spans="1:24" s="13" customFormat="1">
      <c r="A16" s="143" t="s">
        <v>24</v>
      </c>
      <c r="B16" s="15" t="s">
        <v>17</v>
      </c>
      <c r="C16" s="225">
        <v>2.57</v>
      </c>
      <c r="D16" s="25">
        <f t="shared" ref="D16:D22" si="11">C16*$K$4</f>
        <v>14737.408000000001</v>
      </c>
      <c r="E16" s="225">
        <v>2.8</v>
      </c>
      <c r="F16" s="25">
        <f>E16*K4</f>
        <v>16056.32</v>
      </c>
      <c r="G16" s="25">
        <f>E16*K4</f>
        <v>16056.32</v>
      </c>
      <c r="H16" s="20">
        <f>SUM(D16:G16)</f>
        <v>46852.847999999998</v>
      </c>
      <c r="I16" s="25">
        <f>E16*K4</f>
        <v>16056.32</v>
      </c>
      <c r="J16" s="25">
        <f>E16*K4</f>
        <v>16056.32</v>
      </c>
      <c r="K16" s="25">
        <f>E16*K4</f>
        <v>16056.32</v>
      </c>
      <c r="L16" s="22">
        <f t="shared" si="10"/>
        <v>48168.959999999999</v>
      </c>
      <c r="M16" s="225">
        <v>2.8</v>
      </c>
      <c r="N16" s="25">
        <f>E16*K4</f>
        <v>16056.32</v>
      </c>
      <c r="O16" s="25">
        <f>E16*K4</f>
        <v>16056.32</v>
      </c>
      <c r="P16" s="25">
        <f>E16*K4</f>
        <v>16056.32</v>
      </c>
      <c r="Q16" s="20">
        <f>SUM(N16:P16)</f>
        <v>48168.959999999999</v>
      </c>
      <c r="R16" s="25">
        <f>E16*K4</f>
        <v>16056.32</v>
      </c>
      <c r="S16" s="25">
        <f>E16*K4</f>
        <v>16056.32</v>
      </c>
      <c r="T16" s="25">
        <f>E16*K4</f>
        <v>16056.32</v>
      </c>
      <c r="U16" s="20">
        <f>SUM(R16:T16)</f>
        <v>48168.959999999999</v>
      </c>
      <c r="V16" s="144">
        <f t="shared" si="9"/>
        <v>191359.72799999997</v>
      </c>
    </row>
    <row r="17" spans="1:23" s="13" customFormat="1">
      <c r="A17" s="143" t="s">
        <v>25</v>
      </c>
      <c r="B17" s="15" t="s">
        <v>26</v>
      </c>
      <c r="C17" s="225">
        <v>2.99</v>
      </c>
      <c r="D17" s="25">
        <f t="shared" si="11"/>
        <v>17145.856000000003</v>
      </c>
      <c r="E17" s="225">
        <v>3.99</v>
      </c>
      <c r="F17" s="25">
        <f>E17*K4</f>
        <v>22880.256000000005</v>
      </c>
      <c r="G17" s="25">
        <f>F17</f>
        <v>22880.256000000005</v>
      </c>
      <c r="H17" s="20">
        <f t="shared" ref="H17:H22" si="12">SUM(D17:G17)</f>
        <v>62910.358000000022</v>
      </c>
      <c r="I17" s="25">
        <f>G17</f>
        <v>22880.256000000005</v>
      </c>
      <c r="J17" s="25">
        <f>I17</f>
        <v>22880.256000000005</v>
      </c>
      <c r="K17" s="25">
        <f>J17</f>
        <v>22880.256000000005</v>
      </c>
      <c r="L17" s="22">
        <f t="shared" si="10"/>
        <v>68640.768000000011</v>
      </c>
      <c r="M17" s="225">
        <v>3.99</v>
      </c>
      <c r="N17" s="25">
        <f>K17</f>
        <v>22880.256000000005</v>
      </c>
      <c r="O17" s="25">
        <f>N17</f>
        <v>22880.256000000005</v>
      </c>
      <c r="P17" s="25">
        <f>O17</f>
        <v>22880.256000000005</v>
      </c>
      <c r="Q17" s="20">
        <f>SUM(N17:P17)</f>
        <v>68640.768000000011</v>
      </c>
      <c r="R17" s="25">
        <f>P17</f>
        <v>22880.256000000005</v>
      </c>
      <c r="S17" s="25">
        <f>R17</f>
        <v>22880.256000000005</v>
      </c>
      <c r="T17" s="25">
        <f>S17</f>
        <v>22880.256000000005</v>
      </c>
      <c r="U17" s="20">
        <f>SUM(R17:T17)</f>
        <v>68640.768000000011</v>
      </c>
      <c r="V17" s="144">
        <f t="shared" si="9"/>
        <v>268832.66200000007</v>
      </c>
    </row>
    <row r="18" spans="1:23" s="13" customFormat="1" ht="15.75" thickBot="1">
      <c r="A18" s="146" t="s">
        <v>27</v>
      </c>
      <c r="B18" s="33" t="s">
        <v>30</v>
      </c>
      <c r="C18" s="226">
        <v>1.86</v>
      </c>
      <c r="D18" s="34">
        <f t="shared" ref="D18" si="13">C18*$K$4</f>
        <v>10665.984000000002</v>
      </c>
      <c r="E18" s="226">
        <v>2.5</v>
      </c>
      <c r="F18" s="34">
        <f>E18*K4</f>
        <v>14336.000000000002</v>
      </c>
      <c r="G18" s="34">
        <f>E18*K4</f>
        <v>14336.000000000002</v>
      </c>
      <c r="H18" s="66">
        <f t="shared" si="12"/>
        <v>39340.484000000004</v>
      </c>
      <c r="I18" s="34">
        <f>E18*K4</f>
        <v>14336.000000000002</v>
      </c>
      <c r="J18" s="34">
        <f>E18*K4</f>
        <v>14336.000000000002</v>
      </c>
      <c r="K18" s="34">
        <f>E18*K4</f>
        <v>14336.000000000002</v>
      </c>
      <c r="L18" s="84">
        <f t="shared" si="10"/>
        <v>43008.000000000007</v>
      </c>
      <c r="M18" s="226">
        <v>2.5</v>
      </c>
      <c r="N18" s="34">
        <f>E18*K4</f>
        <v>14336.000000000002</v>
      </c>
      <c r="O18" s="34">
        <f>E18*K4</f>
        <v>14336.000000000002</v>
      </c>
      <c r="P18" s="34">
        <f>E18*K4</f>
        <v>14336.000000000002</v>
      </c>
      <c r="Q18" s="66">
        <f t="shared" ref="Q18:Q31" si="14">SUM(N18:P18)</f>
        <v>43008.000000000007</v>
      </c>
      <c r="R18" s="34">
        <f>E18*K4</f>
        <v>14336.000000000002</v>
      </c>
      <c r="S18" s="34">
        <f>E18*K4</f>
        <v>14336.000000000002</v>
      </c>
      <c r="T18" s="34">
        <f>E18*K4</f>
        <v>14336.000000000002</v>
      </c>
      <c r="U18" s="66">
        <f t="shared" ref="U18:U31" si="15">SUM(R18:T18)</f>
        <v>43008.000000000007</v>
      </c>
      <c r="V18" s="147">
        <f t="shared" si="9"/>
        <v>168364.48400000003</v>
      </c>
    </row>
    <row r="19" spans="1:23" s="13" customFormat="1" ht="26.25" customHeight="1" thickBot="1">
      <c r="A19" s="162" t="s">
        <v>28</v>
      </c>
      <c r="B19" s="118" t="s">
        <v>40</v>
      </c>
      <c r="C19" s="227"/>
      <c r="D19" s="68">
        <v>10277</v>
      </c>
      <c r="E19" s="227"/>
      <c r="F19" s="68">
        <v>3902</v>
      </c>
      <c r="G19" s="68">
        <v>95</v>
      </c>
      <c r="H19" s="119">
        <f t="shared" si="12"/>
        <v>14274</v>
      </c>
      <c r="I19" s="68">
        <v>48379</v>
      </c>
      <c r="J19" s="68">
        <v>11358</v>
      </c>
      <c r="K19" s="68">
        <v>6735</v>
      </c>
      <c r="L19" s="68">
        <f t="shared" si="10"/>
        <v>66472</v>
      </c>
      <c r="M19" s="227"/>
      <c r="N19" s="68">
        <v>3387</v>
      </c>
      <c r="O19" s="68">
        <v>0</v>
      </c>
      <c r="P19" s="68">
        <v>7795</v>
      </c>
      <c r="Q19" s="119">
        <f t="shared" si="14"/>
        <v>11182</v>
      </c>
      <c r="R19" s="68">
        <v>20922</v>
      </c>
      <c r="S19" s="68">
        <v>6246</v>
      </c>
      <c r="T19" s="68">
        <v>14321</v>
      </c>
      <c r="U19" s="119">
        <f t="shared" si="15"/>
        <v>41489</v>
      </c>
      <c r="V19" s="163">
        <f t="shared" si="9"/>
        <v>133417</v>
      </c>
    </row>
    <row r="20" spans="1:23" s="13" customFormat="1">
      <c r="A20" s="148" t="s">
        <v>33</v>
      </c>
      <c r="B20" s="45" t="s">
        <v>39</v>
      </c>
      <c r="C20" s="228">
        <v>0.82</v>
      </c>
      <c r="D20" s="46">
        <f t="shared" si="11"/>
        <v>4702.2080000000005</v>
      </c>
      <c r="E20" s="228">
        <v>1</v>
      </c>
      <c r="F20" s="46">
        <f>E20*K4</f>
        <v>5734.4000000000005</v>
      </c>
      <c r="G20" s="46">
        <f>F20</f>
        <v>5734.4000000000005</v>
      </c>
      <c r="H20" s="98">
        <f t="shared" si="12"/>
        <v>16172.008000000002</v>
      </c>
      <c r="I20" s="46">
        <f>G20</f>
        <v>5734.4000000000005</v>
      </c>
      <c r="J20" s="46">
        <f t="shared" ref="J20:K23" si="16">I20</f>
        <v>5734.4000000000005</v>
      </c>
      <c r="K20" s="46">
        <f t="shared" si="16"/>
        <v>5734.4000000000005</v>
      </c>
      <c r="L20" s="85">
        <f t="shared" si="10"/>
        <v>17203.2</v>
      </c>
      <c r="M20" s="228">
        <v>1</v>
      </c>
      <c r="N20" s="46">
        <f>K20</f>
        <v>5734.4000000000005</v>
      </c>
      <c r="O20" s="76">
        <f t="shared" ref="O20:O22" si="17">N20</f>
        <v>5734.4000000000005</v>
      </c>
      <c r="P20" s="76">
        <f>O20</f>
        <v>5734.4000000000005</v>
      </c>
      <c r="Q20" s="124">
        <f t="shared" si="14"/>
        <v>17203.2</v>
      </c>
      <c r="R20" s="76">
        <f>P20</f>
        <v>5734.4000000000005</v>
      </c>
      <c r="S20" s="76">
        <f t="shared" ref="S20:T22" si="18">R20</f>
        <v>5734.4000000000005</v>
      </c>
      <c r="T20" s="76">
        <f t="shared" si="18"/>
        <v>5734.4000000000005</v>
      </c>
      <c r="U20" s="124">
        <f t="shared" si="15"/>
        <v>17203.2</v>
      </c>
      <c r="V20" s="149">
        <f t="shared" si="9"/>
        <v>67781.607999999993</v>
      </c>
    </row>
    <row r="21" spans="1:23" s="13" customFormat="1" ht="15.75" customHeight="1">
      <c r="A21" s="143" t="s">
        <v>34</v>
      </c>
      <c r="B21" s="15" t="s">
        <v>41</v>
      </c>
      <c r="C21" s="225">
        <v>0.12</v>
      </c>
      <c r="D21" s="25">
        <f t="shared" si="11"/>
        <v>688.12800000000004</v>
      </c>
      <c r="E21" s="225">
        <v>0.2</v>
      </c>
      <c r="F21" s="25">
        <f>E21*K4</f>
        <v>1146.8800000000001</v>
      </c>
      <c r="G21" s="25">
        <f>F21</f>
        <v>1146.8800000000001</v>
      </c>
      <c r="H21" s="20">
        <f t="shared" si="12"/>
        <v>2982.0880000000002</v>
      </c>
      <c r="I21" s="25">
        <f>G21</f>
        <v>1146.8800000000001</v>
      </c>
      <c r="J21" s="25">
        <f t="shared" si="16"/>
        <v>1146.8800000000001</v>
      </c>
      <c r="K21" s="25">
        <f t="shared" si="16"/>
        <v>1146.8800000000001</v>
      </c>
      <c r="L21" s="22">
        <f t="shared" si="10"/>
        <v>3440.6400000000003</v>
      </c>
      <c r="M21" s="225">
        <v>0.2</v>
      </c>
      <c r="N21" s="25">
        <f>K21</f>
        <v>1146.8800000000001</v>
      </c>
      <c r="O21" s="28">
        <f t="shared" si="17"/>
        <v>1146.8800000000001</v>
      </c>
      <c r="P21" s="28">
        <f>O21</f>
        <v>1146.8800000000001</v>
      </c>
      <c r="Q21" s="66">
        <f t="shared" si="14"/>
        <v>3440.6400000000003</v>
      </c>
      <c r="R21" s="28">
        <f>P21</f>
        <v>1146.8800000000001</v>
      </c>
      <c r="S21" s="28">
        <f t="shared" si="18"/>
        <v>1146.8800000000001</v>
      </c>
      <c r="T21" s="28">
        <f t="shared" si="18"/>
        <v>1146.8800000000001</v>
      </c>
      <c r="U21" s="66">
        <f t="shared" si="15"/>
        <v>3440.6400000000003</v>
      </c>
      <c r="V21" s="144">
        <f t="shared" si="9"/>
        <v>13304.008000000002</v>
      </c>
    </row>
    <row r="22" spans="1:23" s="13" customFormat="1">
      <c r="A22" s="143" t="s">
        <v>35</v>
      </c>
      <c r="B22" s="15" t="s">
        <v>29</v>
      </c>
      <c r="C22" s="225">
        <v>0.56999999999999995</v>
      </c>
      <c r="D22" s="25">
        <f t="shared" si="11"/>
        <v>3268.6080000000002</v>
      </c>
      <c r="E22" s="225">
        <v>0.42</v>
      </c>
      <c r="F22" s="25">
        <f>E22*K4</f>
        <v>2408.4480000000003</v>
      </c>
      <c r="G22" s="25">
        <f>F22</f>
        <v>2408.4480000000003</v>
      </c>
      <c r="H22" s="20">
        <f t="shared" si="12"/>
        <v>8085.9240000000009</v>
      </c>
      <c r="I22" s="25">
        <f>G22</f>
        <v>2408.4480000000003</v>
      </c>
      <c r="J22" s="25">
        <f t="shared" si="16"/>
        <v>2408.4480000000003</v>
      </c>
      <c r="K22" s="25">
        <f t="shared" si="16"/>
        <v>2408.4480000000003</v>
      </c>
      <c r="L22" s="22">
        <f t="shared" si="10"/>
        <v>7225.344000000001</v>
      </c>
      <c r="M22" s="225">
        <v>0.42</v>
      </c>
      <c r="N22" s="25">
        <f>K22</f>
        <v>2408.4480000000003</v>
      </c>
      <c r="O22" s="28">
        <f t="shared" si="17"/>
        <v>2408.4480000000003</v>
      </c>
      <c r="P22" s="28">
        <f>O22</f>
        <v>2408.4480000000003</v>
      </c>
      <c r="Q22" s="66">
        <f t="shared" si="14"/>
        <v>7225.344000000001</v>
      </c>
      <c r="R22" s="28">
        <f>P22</f>
        <v>2408.4480000000003</v>
      </c>
      <c r="S22" s="28">
        <f t="shared" si="18"/>
        <v>2408.4480000000003</v>
      </c>
      <c r="T22" s="28">
        <f t="shared" si="18"/>
        <v>2408.4480000000003</v>
      </c>
      <c r="U22" s="66">
        <f t="shared" si="15"/>
        <v>7225.344000000001</v>
      </c>
      <c r="V22" s="144">
        <f t="shared" si="9"/>
        <v>29761.956000000002</v>
      </c>
    </row>
    <row r="23" spans="1:23" s="13" customFormat="1">
      <c r="A23" s="143" t="s">
        <v>124</v>
      </c>
      <c r="B23" s="15" t="s">
        <v>123</v>
      </c>
      <c r="C23" s="225"/>
      <c r="D23" s="25"/>
      <c r="E23" s="225">
        <v>1.5</v>
      </c>
      <c r="F23" s="25">
        <f>E23*K4</f>
        <v>8601.6</v>
      </c>
      <c r="G23" s="25">
        <f>F23</f>
        <v>8601.6</v>
      </c>
      <c r="H23" s="20">
        <f>G23+F23+D23</f>
        <v>17203.2</v>
      </c>
      <c r="I23" s="25">
        <f>G23</f>
        <v>8601.6</v>
      </c>
      <c r="J23" s="25">
        <f t="shared" si="16"/>
        <v>8601.6</v>
      </c>
      <c r="K23" s="25">
        <f t="shared" si="16"/>
        <v>8601.6</v>
      </c>
      <c r="L23" s="22">
        <f>K23+J23+I23</f>
        <v>25804.800000000003</v>
      </c>
      <c r="M23" s="225">
        <v>1.5</v>
      </c>
      <c r="N23" s="25">
        <f>K23</f>
        <v>8601.6</v>
      </c>
      <c r="O23" s="28">
        <f>N23</f>
        <v>8601.6</v>
      </c>
      <c r="P23" s="28">
        <f>O23</f>
        <v>8601.6</v>
      </c>
      <c r="Q23" s="66">
        <f>P23+O23+N23</f>
        <v>25804.800000000003</v>
      </c>
      <c r="R23" s="28">
        <f>P23</f>
        <v>8601.6</v>
      </c>
      <c r="S23" s="28">
        <f>R23</f>
        <v>8601.6</v>
      </c>
      <c r="T23" s="28">
        <f>S23</f>
        <v>8601.6</v>
      </c>
      <c r="U23" s="66">
        <f>T23+S23+R23</f>
        <v>25804.800000000003</v>
      </c>
      <c r="V23" s="144">
        <f t="shared" si="9"/>
        <v>94617.600000000006</v>
      </c>
    </row>
    <row r="24" spans="1:23" s="13" customFormat="1">
      <c r="A24" s="143" t="s">
        <v>125</v>
      </c>
      <c r="B24" s="15" t="s">
        <v>84</v>
      </c>
      <c r="C24" s="225"/>
      <c r="D24" s="25">
        <f>SUM(D26:D31)</f>
        <v>0</v>
      </c>
      <c r="E24" s="225"/>
      <c r="F24" s="25">
        <f>SUM(F26:F31)</f>
        <v>0</v>
      </c>
      <c r="G24" s="25">
        <f>SUM(G26:G31)</f>
        <v>0</v>
      </c>
      <c r="H24" s="20">
        <f t="shared" ref="H24:H31" si="19">SUM(D24:G24)</f>
        <v>0</v>
      </c>
      <c r="I24" s="25">
        <f>SUM(I26:I31)</f>
        <v>0</v>
      </c>
      <c r="J24" s="25">
        <f>SUM(J26:J31)</f>
        <v>0</v>
      </c>
      <c r="K24" s="29">
        <f>SUM(K26:K31)</f>
        <v>750.88</v>
      </c>
      <c r="L24" s="22">
        <f t="shared" si="10"/>
        <v>750.88</v>
      </c>
      <c r="M24" s="225"/>
      <c r="N24" s="25">
        <f>SUM(N26:N31)</f>
        <v>0</v>
      </c>
      <c r="O24" s="28">
        <f>SUM(O26:O31)</f>
        <v>0</v>
      </c>
      <c r="P24" s="28">
        <f>SUM(P26:P31)</f>
        <v>0</v>
      </c>
      <c r="Q24" s="66">
        <f t="shared" si="14"/>
        <v>0</v>
      </c>
      <c r="R24" s="28">
        <f>SUM(R26:R31)</f>
        <v>0</v>
      </c>
      <c r="S24" s="28">
        <f>SUM(S26:S31)</f>
        <v>0</v>
      </c>
      <c r="T24" s="28">
        <f>SUM(T26:T31)</f>
        <v>0</v>
      </c>
      <c r="U24" s="66">
        <f t="shared" si="15"/>
        <v>0</v>
      </c>
      <c r="V24" s="144">
        <f t="shared" si="9"/>
        <v>750.88</v>
      </c>
    </row>
    <row r="25" spans="1:23" s="13" customFormat="1">
      <c r="A25" s="143"/>
      <c r="B25" s="15" t="s">
        <v>44</v>
      </c>
      <c r="C25" s="225"/>
      <c r="D25" s="25"/>
      <c r="E25" s="225"/>
      <c r="F25" s="25"/>
      <c r="G25" s="25"/>
      <c r="H25" s="20">
        <f t="shared" si="19"/>
        <v>0</v>
      </c>
      <c r="I25" s="28"/>
      <c r="J25" s="25"/>
      <c r="K25" s="25"/>
      <c r="L25" s="22">
        <f t="shared" si="10"/>
        <v>0</v>
      </c>
      <c r="M25" s="225"/>
      <c r="N25" s="28"/>
      <c r="O25" s="28"/>
      <c r="P25" s="28"/>
      <c r="Q25" s="66">
        <f t="shared" si="14"/>
        <v>0</v>
      </c>
      <c r="R25" s="28"/>
      <c r="S25" s="28"/>
      <c r="T25" s="28"/>
      <c r="U25" s="66">
        <f t="shared" si="15"/>
        <v>0</v>
      </c>
      <c r="V25" s="144">
        <f t="shared" si="9"/>
        <v>0</v>
      </c>
    </row>
    <row r="26" spans="1:23" s="13" customFormat="1">
      <c r="A26" s="143"/>
      <c r="B26" s="15" t="s">
        <v>47</v>
      </c>
      <c r="C26" s="225"/>
      <c r="D26" s="25"/>
      <c r="E26" s="225"/>
      <c r="F26" s="25"/>
      <c r="G26" s="25"/>
      <c r="H26" s="20">
        <f t="shared" si="19"/>
        <v>0</v>
      </c>
      <c r="I26" s="28"/>
      <c r="J26" s="25"/>
      <c r="K26" s="25"/>
      <c r="L26" s="22">
        <f t="shared" si="10"/>
        <v>0</v>
      </c>
      <c r="M26" s="225"/>
      <c r="N26" s="28"/>
      <c r="O26" s="28"/>
      <c r="P26" s="28"/>
      <c r="Q26" s="66">
        <f t="shared" si="14"/>
        <v>0</v>
      </c>
      <c r="R26" s="28"/>
      <c r="S26" s="28"/>
      <c r="T26" s="28"/>
      <c r="U26" s="66">
        <f t="shared" si="15"/>
        <v>0</v>
      </c>
      <c r="V26" s="144">
        <f t="shared" si="9"/>
        <v>0</v>
      </c>
    </row>
    <row r="27" spans="1:23" s="13" customFormat="1">
      <c r="A27" s="143"/>
      <c r="B27" s="15" t="s">
        <v>48</v>
      </c>
      <c r="C27" s="225"/>
      <c r="D27" s="25"/>
      <c r="E27" s="225"/>
      <c r="F27" s="25"/>
      <c r="G27" s="25"/>
      <c r="H27" s="20">
        <f t="shared" si="19"/>
        <v>0</v>
      </c>
      <c r="I27" s="28"/>
      <c r="J27" s="25"/>
      <c r="K27" s="25"/>
      <c r="L27" s="22">
        <f t="shared" si="10"/>
        <v>0</v>
      </c>
      <c r="M27" s="225"/>
      <c r="N27" s="28"/>
      <c r="O27" s="28"/>
      <c r="P27" s="28"/>
      <c r="Q27" s="66">
        <f t="shared" si="14"/>
        <v>0</v>
      </c>
      <c r="R27" s="28"/>
      <c r="S27" s="28"/>
      <c r="T27" s="28"/>
      <c r="U27" s="66">
        <f t="shared" si="15"/>
        <v>0</v>
      </c>
      <c r="V27" s="144">
        <f t="shared" si="9"/>
        <v>0</v>
      </c>
    </row>
    <row r="28" spans="1:23" s="13" customFormat="1">
      <c r="A28" s="143"/>
      <c r="B28" s="15" t="s">
        <v>49</v>
      </c>
      <c r="C28" s="225"/>
      <c r="D28" s="25"/>
      <c r="E28" s="225"/>
      <c r="F28" s="25"/>
      <c r="G28" s="25"/>
      <c r="H28" s="20">
        <f t="shared" si="19"/>
        <v>0</v>
      </c>
      <c r="I28" s="28"/>
      <c r="J28" s="25"/>
      <c r="K28" s="25"/>
      <c r="L28" s="22">
        <f t="shared" si="10"/>
        <v>0</v>
      </c>
      <c r="M28" s="225"/>
      <c r="N28" s="28"/>
      <c r="O28" s="28"/>
      <c r="P28" s="28"/>
      <c r="Q28" s="66">
        <f t="shared" si="14"/>
        <v>0</v>
      </c>
      <c r="R28" s="28"/>
      <c r="S28" s="28"/>
      <c r="T28" s="28"/>
      <c r="U28" s="66">
        <f t="shared" si="15"/>
        <v>0</v>
      </c>
      <c r="V28" s="144">
        <f t="shared" si="9"/>
        <v>0</v>
      </c>
    </row>
    <row r="29" spans="1:23" s="13" customFormat="1">
      <c r="A29" s="143"/>
      <c r="B29" s="15" t="s">
        <v>61</v>
      </c>
      <c r="C29" s="225"/>
      <c r="D29" s="25"/>
      <c r="E29" s="225"/>
      <c r="F29" s="25"/>
      <c r="G29" s="25"/>
      <c r="H29" s="20">
        <f t="shared" si="19"/>
        <v>0</v>
      </c>
      <c r="I29" s="28"/>
      <c r="J29" s="25"/>
      <c r="K29" s="25"/>
      <c r="L29" s="22">
        <f t="shared" si="10"/>
        <v>0</v>
      </c>
      <c r="M29" s="225"/>
      <c r="N29" s="28"/>
      <c r="O29" s="28"/>
      <c r="P29" s="28"/>
      <c r="Q29" s="66">
        <f t="shared" si="14"/>
        <v>0</v>
      </c>
      <c r="R29" s="28"/>
      <c r="S29" s="28"/>
      <c r="T29" s="28"/>
      <c r="U29" s="66">
        <f t="shared" si="15"/>
        <v>0</v>
      </c>
      <c r="V29" s="144">
        <f t="shared" si="9"/>
        <v>0</v>
      </c>
    </row>
    <row r="30" spans="1:23" s="13" customFormat="1">
      <c r="A30" s="143"/>
      <c r="B30" s="15" t="s">
        <v>83</v>
      </c>
      <c r="C30" s="225"/>
      <c r="D30" s="25"/>
      <c r="E30" s="225"/>
      <c r="F30" s="25"/>
      <c r="G30" s="25"/>
      <c r="H30" s="20">
        <f t="shared" si="19"/>
        <v>0</v>
      </c>
      <c r="I30" s="28"/>
      <c r="J30" s="25"/>
      <c r="K30" s="29">
        <f>200+222.53+328.35</f>
        <v>750.88</v>
      </c>
      <c r="L30" s="22">
        <f t="shared" si="10"/>
        <v>750.88</v>
      </c>
      <c r="M30" s="225"/>
      <c r="N30" s="28"/>
      <c r="O30" s="28"/>
      <c r="P30" s="28"/>
      <c r="Q30" s="66">
        <f t="shared" si="14"/>
        <v>0</v>
      </c>
      <c r="R30" s="28"/>
      <c r="S30" s="30"/>
      <c r="T30" s="28"/>
      <c r="U30" s="66">
        <f t="shared" si="15"/>
        <v>0</v>
      </c>
      <c r="V30" s="144">
        <f t="shared" si="9"/>
        <v>750.88</v>
      </c>
    </row>
    <row r="31" spans="1:23" s="13" customFormat="1">
      <c r="A31" s="143"/>
      <c r="B31" s="15" t="s">
        <v>53</v>
      </c>
      <c r="C31" s="225"/>
      <c r="D31" s="25"/>
      <c r="E31" s="225"/>
      <c r="F31" s="25"/>
      <c r="G31" s="25"/>
      <c r="H31" s="20">
        <f t="shared" si="19"/>
        <v>0</v>
      </c>
      <c r="I31" s="28"/>
      <c r="J31" s="25"/>
      <c r="K31" s="25"/>
      <c r="L31" s="66">
        <f t="shared" ref="L31" si="20">SUM(I31:K31)</f>
        <v>0</v>
      </c>
      <c r="M31" s="225"/>
      <c r="N31" s="28"/>
      <c r="O31" s="28"/>
      <c r="P31" s="30"/>
      <c r="Q31" s="66">
        <f t="shared" si="14"/>
        <v>0</v>
      </c>
      <c r="R31" s="28"/>
      <c r="S31" s="28"/>
      <c r="T31" s="28"/>
      <c r="U31" s="66">
        <f t="shared" si="15"/>
        <v>0</v>
      </c>
      <c r="V31" s="144">
        <f t="shared" si="9"/>
        <v>0</v>
      </c>
    </row>
    <row r="32" spans="1:23" s="13" customFormat="1" ht="15.75" thickBot="1">
      <c r="A32" s="150"/>
      <c r="B32" s="151" t="s">
        <v>43</v>
      </c>
      <c r="C32" s="229"/>
      <c r="D32" s="153"/>
      <c r="E32" s="229"/>
      <c r="F32" s="154"/>
      <c r="G32" s="154"/>
      <c r="H32" s="155">
        <f>H11-H15</f>
        <v>86714.419999999955</v>
      </c>
      <c r="I32" s="156"/>
      <c r="J32" s="154"/>
      <c r="K32" s="154"/>
      <c r="L32" s="155">
        <f>L11-L15</f>
        <v>54376.297999999952</v>
      </c>
      <c r="M32" s="229"/>
      <c r="N32" s="157"/>
      <c r="O32" s="157"/>
      <c r="P32" s="156"/>
      <c r="Q32" s="155">
        <f>Q11-Q15</f>
        <v>107314.76799999995</v>
      </c>
      <c r="R32" s="156"/>
      <c r="S32" s="156"/>
      <c r="T32" s="156"/>
      <c r="U32" s="155">
        <f>U11-U15</f>
        <v>84995.047999999981</v>
      </c>
      <c r="V32" s="158">
        <f t="shared" si="9"/>
        <v>333400.53399999987</v>
      </c>
      <c r="W32" s="126"/>
    </row>
    <row r="33" spans="4:22" s="13" customFormat="1">
      <c r="D33" s="50"/>
      <c r="E33" s="50"/>
      <c r="O33" s="14"/>
      <c r="P33" s="14"/>
      <c r="Q33" s="14"/>
      <c r="R33" s="14" t="s">
        <v>85</v>
      </c>
      <c r="S33" s="14"/>
      <c r="T33" s="14"/>
      <c r="U33" s="14"/>
      <c r="V33" s="14"/>
    </row>
  </sheetData>
  <mergeCells count="4">
    <mergeCell ref="A1:L1"/>
    <mergeCell ref="A2:L2"/>
    <mergeCell ref="A3:L3"/>
    <mergeCell ref="T3:X3"/>
  </mergeCells>
  <pageMargins left="0.25" right="0.25" top="0.75" bottom="0.75" header="0.3" footer="0.3"/>
  <pageSetup paperSize="9" scale="6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3"/>
  <sheetViews>
    <sheetView zoomScaleNormal="100" workbookViewId="0">
      <selection activeCell="V32" sqref="V32"/>
    </sheetView>
  </sheetViews>
  <sheetFormatPr defaultRowHeight="15"/>
  <cols>
    <col min="1" max="1" width="4.28515625" style="5" customWidth="1"/>
    <col min="2" max="2" width="36" style="5" customWidth="1"/>
    <col min="3" max="3" width="10.42578125" style="5" customWidth="1"/>
    <col min="4" max="5" width="10.140625" style="5" customWidth="1"/>
    <col min="6" max="6" width="10.7109375" style="5" customWidth="1"/>
    <col min="7" max="9" width="9.28515625" style="5" customWidth="1"/>
    <col min="10" max="10" width="8.28515625" style="5" customWidth="1"/>
    <col min="11" max="11" width="8.140625" style="5" customWidth="1"/>
    <col min="12" max="12" width="9" style="5" customWidth="1"/>
    <col min="13" max="15" width="9.28515625" style="5" customWidth="1"/>
    <col min="16" max="16" width="9.42578125" style="5" customWidth="1"/>
    <col min="17" max="19" width="9.28515625" style="5" customWidth="1"/>
    <col min="20" max="26" width="9.140625" style="5" customWidth="1"/>
    <col min="27" max="16384" width="9.140625" style="5"/>
  </cols>
  <sheetData>
    <row r="1" spans="1:22" s="13" customForma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R1" s="13" t="s">
        <v>94</v>
      </c>
    </row>
    <row r="2" spans="1:22" s="13" customFormat="1">
      <c r="A2" s="368" t="s">
        <v>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R2" s="13" t="s">
        <v>95</v>
      </c>
    </row>
    <row r="3" spans="1:22" s="13" customFormat="1">
      <c r="A3" s="374" t="s">
        <v>117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R3" s="373" t="s">
        <v>138</v>
      </c>
      <c r="S3" s="373"/>
      <c r="T3" s="373"/>
      <c r="U3" s="373"/>
      <c r="V3" s="373"/>
    </row>
    <row r="4" spans="1:22" s="13" customFormat="1" ht="15.75" thickBot="1">
      <c r="B4" s="13" t="s">
        <v>80</v>
      </c>
      <c r="I4" s="14"/>
      <c r="K4" s="13">
        <f>5455+303.9-1.5</f>
        <v>5757.4</v>
      </c>
      <c r="L4" s="14"/>
      <c r="M4" s="14"/>
      <c r="N4" s="14"/>
      <c r="O4" s="14"/>
      <c r="P4" s="14"/>
      <c r="Q4" s="14"/>
    </row>
    <row r="5" spans="1:22" s="13" customFormat="1">
      <c r="A5" s="134"/>
      <c r="B5" s="135" t="s">
        <v>2</v>
      </c>
      <c r="C5" s="139" t="s">
        <v>100</v>
      </c>
      <c r="D5" s="135" t="s">
        <v>4</v>
      </c>
      <c r="E5" s="139" t="s">
        <v>100</v>
      </c>
      <c r="F5" s="135" t="s">
        <v>5</v>
      </c>
      <c r="G5" s="135" t="s">
        <v>6</v>
      </c>
      <c r="H5" s="137" t="s">
        <v>7</v>
      </c>
      <c r="I5" s="138" t="s">
        <v>8</v>
      </c>
      <c r="J5" s="135" t="s">
        <v>9</v>
      </c>
      <c r="K5" s="135" t="s">
        <v>10</v>
      </c>
      <c r="L5" s="139" t="s">
        <v>11</v>
      </c>
      <c r="M5" s="138" t="s">
        <v>54</v>
      </c>
      <c r="N5" s="138" t="s">
        <v>55</v>
      </c>
      <c r="O5" s="138" t="s">
        <v>56</v>
      </c>
      <c r="P5" s="139" t="s">
        <v>57</v>
      </c>
      <c r="Q5" s="138" t="s">
        <v>63</v>
      </c>
      <c r="R5" s="135" t="s">
        <v>64</v>
      </c>
      <c r="S5" s="135" t="s">
        <v>65</v>
      </c>
      <c r="T5" s="139" t="s">
        <v>66</v>
      </c>
      <c r="U5" s="164" t="s">
        <v>71</v>
      </c>
    </row>
    <row r="6" spans="1:22" s="13" customFormat="1" ht="25.5" customHeight="1">
      <c r="A6" s="141" t="s">
        <v>12</v>
      </c>
      <c r="B6" s="19" t="s">
        <v>13</v>
      </c>
      <c r="C6" s="20"/>
      <c r="D6" s="20">
        <f>SUM(D7:D10)</f>
        <v>97357.633999999991</v>
      </c>
      <c r="E6" s="20"/>
      <c r="F6" s="20">
        <f t="shared" ref="F6:T6" si="0">SUM(F7:F10)</f>
        <v>97357.633999999991</v>
      </c>
      <c r="G6" s="20">
        <f t="shared" si="0"/>
        <v>97357.633999999991</v>
      </c>
      <c r="H6" s="20">
        <f t="shared" si="0"/>
        <v>292089.81199999998</v>
      </c>
      <c r="I6" s="20">
        <f t="shared" si="0"/>
        <v>97357.633999999991</v>
      </c>
      <c r="J6" s="20">
        <f t="shared" si="0"/>
        <v>97357.633999999991</v>
      </c>
      <c r="K6" s="20">
        <f t="shared" si="0"/>
        <v>97357.633999999991</v>
      </c>
      <c r="L6" s="20">
        <f t="shared" si="0"/>
        <v>292072.902</v>
      </c>
      <c r="M6" s="20">
        <f t="shared" si="0"/>
        <v>97357.633999999991</v>
      </c>
      <c r="N6" s="20">
        <f t="shared" si="0"/>
        <v>93271.553999999989</v>
      </c>
      <c r="O6" s="20">
        <f t="shared" si="0"/>
        <v>97357.633999999991</v>
      </c>
      <c r="P6" s="20">
        <f t="shared" si="0"/>
        <v>287986.82199999999</v>
      </c>
      <c r="Q6" s="20">
        <f t="shared" si="0"/>
        <v>84691.353999999992</v>
      </c>
      <c r="R6" s="20">
        <f t="shared" si="0"/>
        <v>95774.353999999992</v>
      </c>
      <c r="S6" s="20">
        <f t="shared" si="0"/>
        <v>95774.353999999992</v>
      </c>
      <c r="T6" s="20">
        <f t="shared" si="0"/>
        <v>276240.06199999998</v>
      </c>
      <c r="U6" s="142">
        <f t="shared" ref="U6:U12" si="1">H6+L6+P6+T6</f>
        <v>1148389.5979999998</v>
      </c>
    </row>
    <row r="7" spans="1:22" s="13" customFormat="1">
      <c r="A7" s="143" t="s">
        <v>14</v>
      </c>
      <c r="B7" s="15" t="s">
        <v>15</v>
      </c>
      <c r="C7" s="27">
        <v>12.48</v>
      </c>
      <c r="D7" s="25">
        <f>C7*$K$4</f>
        <v>71852.351999999999</v>
      </c>
      <c r="E7" s="27">
        <v>11.91</v>
      </c>
      <c r="F7" s="25">
        <f>E7*K4</f>
        <v>68570.633999999991</v>
      </c>
      <c r="G7" s="25">
        <f>F7</f>
        <v>68570.633999999991</v>
      </c>
      <c r="H7" s="20">
        <f>SUM(D7:G7)</f>
        <v>209005.53</v>
      </c>
      <c r="I7" s="25">
        <f>G7</f>
        <v>68570.633999999991</v>
      </c>
      <c r="J7" s="25">
        <f>I7</f>
        <v>68570.633999999991</v>
      </c>
      <c r="K7" s="25">
        <f>J7</f>
        <v>68570.633999999991</v>
      </c>
      <c r="L7" s="22">
        <f>I7+J7+K7</f>
        <v>205711.90199999997</v>
      </c>
      <c r="M7" s="28">
        <f>K7</f>
        <v>68570.633999999991</v>
      </c>
      <c r="N7" s="28">
        <f>M7</f>
        <v>68570.633999999991</v>
      </c>
      <c r="O7" s="28">
        <f>N7</f>
        <v>68570.633999999991</v>
      </c>
      <c r="P7" s="22">
        <f>SUM(M7:O7)</f>
        <v>205711.90199999997</v>
      </c>
      <c r="Q7" s="28">
        <f>O7</f>
        <v>68570.633999999991</v>
      </c>
      <c r="R7" s="25">
        <f>Q7</f>
        <v>68570.633999999991</v>
      </c>
      <c r="S7" s="25">
        <f>R7</f>
        <v>68570.633999999991</v>
      </c>
      <c r="T7" s="22">
        <f>SUM(Q7:S7)</f>
        <v>205711.90199999997</v>
      </c>
      <c r="U7" s="165">
        <f t="shared" si="1"/>
        <v>826141.23599999992</v>
      </c>
    </row>
    <row r="8" spans="1:22" s="13" customFormat="1">
      <c r="A8" s="143" t="s">
        <v>16</v>
      </c>
      <c r="B8" s="15" t="s">
        <v>17</v>
      </c>
      <c r="C8" s="27">
        <v>2.57</v>
      </c>
      <c r="D8" s="25">
        <f t="shared" ref="D8:D10" si="2">C8*$K$4</f>
        <v>14796.517999999998</v>
      </c>
      <c r="E8" s="27">
        <v>2.8</v>
      </c>
      <c r="F8" s="25">
        <f>E8*K4</f>
        <v>16120.719999999998</v>
      </c>
      <c r="G8" s="25">
        <f>E8*K4</f>
        <v>16120.719999999998</v>
      </c>
      <c r="H8" s="20">
        <f t="shared" ref="H8:H10" si="3">SUM(D8:G8)</f>
        <v>47040.757999999987</v>
      </c>
      <c r="I8" s="25">
        <f>E8*K4</f>
        <v>16120.719999999998</v>
      </c>
      <c r="J8" s="25">
        <f>E8*K4</f>
        <v>16120.719999999998</v>
      </c>
      <c r="K8" s="25">
        <f>E8*K4</f>
        <v>16120.719999999998</v>
      </c>
      <c r="L8" s="22">
        <f>I8+J8+K8</f>
        <v>48362.159999999989</v>
      </c>
      <c r="M8" s="25">
        <f>E8*K4</f>
        <v>16120.719999999998</v>
      </c>
      <c r="N8" s="25">
        <f>E8*K4</f>
        <v>16120.719999999998</v>
      </c>
      <c r="O8" s="25">
        <f>E8*K4</f>
        <v>16120.719999999998</v>
      </c>
      <c r="P8" s="22">
        <f t="shared" ref="P8:P10" si="4">SUM(M8:O8)</f>
        <v>48362.159999999989</v>
      </c>
      <c r="Q8" s="25">
        <f>E8*K4</f>
        <v>16120.719999999998</v>
      </c>
      <c r="R8" s="25">
        <f>E8*K4</f>
        <v>16120.719999999998</v>
      </c>
      <c r="S8" s="25">
        <f>E8*K4</f>
        <v>16120.719999999998</v>
      </c>
      <c r="T8" s="22">
        <f t="shared" ref="T8:T10" si="5">SUM(Q8:S8)</f>
        <v>48362.159999999989</v>
      </c>
      <c r="U8" s="165">
        <f t="shared" si="1"/>
        <v>192127.23799999995</v>
      </c>
    </row>
    <row r="9" spans="1:22" s="13" customFormat="1">
      <c r="A9" s="143" t="s">
        <v>18</v>
      </c>
      <c r="B9" s="15" t="s">
        <v>30</v>
      </c>
      <c r="C9" s="27">
        <v>1.86</v>
      </c>
      <c r="D9" s="25">
        <f>C9*K4</f>
        <v>10708.763999999999</v>
      </c>
      <c r="E9" s="27">
        <v>2.2000000000000002</v>
      </c>
      <c r="F9" s="25">
        <f>E9*K4</f>
        <v>12666.28</v>
      </c>
      <c r="G9" s="25">
        <f>E9*K4</f>
        <v>12666.28</v>
      </c>
      <c r="H9" s="20">
        <f t="shared" si="3"/>
        <v>36043.523999999998</v>
      </c>
      <c r="I9" s="25">
        <f>E9*K4</f>
        <v>12666.28</v>
      </c>
      <c r="J9" s="25">
        <f>E9*K4</f>
        <v>12666.28</v>
      </c>
      <c r="K9" s="25">
        <f>E9*K4</f>
        <v>12666.28</v>
      </c>
      <c r="L9" s="22">
        <f>I9+J9+K9</f>
        <v>37998.840000000004</v>
      </c>
      <c r="M9" s="25">
        <f>E9*K4</f>
        <v>12666.28</v>
      </c>
      <c r="N9" s="29">
        <v>8580.2000000000007</v>
      </c>
      <c r="O9" s="25">
        <f>E9*K4</f>
        <v>12666.28</v>
      </c>
      <c r="P9" s="22">
        <f t="shared" si="4"/>
        <v>33912.76</v>
      </c>
      <c r="Q9" s="358">
        <v>0</v>
      </c>
      <c r="R9" s="29">
        <v>11083</v>
      </c>
      <c r="S9" s="29">
        <v>11083</v>
      </c>
      <c r="T9" s="22">
        <f t="shared" si="5"/>
        <v>22166</v>
      </c>
      <c r="U9" s="165">
        <f t="shared" si="1"/>
        <v>130121.12400000001</v>
      </c>
    </row>
    <row r="10" spans="1:22" s="13" customFormat="1" ht="15.75" thickBot="1">
      <c r="A10" s="146" t="s">
        <v>31</v>
      </c>
      <c r="B10" s="33" t="s">
        <v>19</v>
      </c>
      <c r="C10" s="242"/>
      <c r="D10" s="34">
        <f t="shared" si="2"/>
        <v>0</v>
      </c>
      <c r="E10" s="242"/>
      <c r="F10" s="34">
        <f t="shared" ref="F10" si="6">C10*$K$4</f>
        <v>0</v>
      </c>
      <c r="G10" s="34">
        <f t="shared" ref="G10" si="7">C10*$K$4</f>
        <v>0</v>
      </c>
      <c r="H10" s="66">
        <f t="shared" si="3"/>
        <v>0</v>
      </c>
      <c r="I10" s="34">
        <f t="shared" ref="I10" si="8">C10*$K$4</f>
        <v>0</v>
      </c>
      <c r="J10" s="34">
        <f t="shared" ref="J10" si="9">C10*$K$4</f>
        <v>0</v>
      </c>
      <c r="K10" s="34">
        <f t="shared" ref="K10" si="10">C10*$K$4</f>
        <v>0</v>
      </c>
      <c r="L10" s="84">
        <f>I10+J10+K10</f>
        <v>0</v>
      </c>
      <c r="M10" s="58">
        <f t="shared" ref="M10" si="11">C10*$K$4</f>
        <v>0</v>
      </c>
      <c r="N10" s="58">
        <f t="shared" ref="N10" si="12">C10*$K$4</f>
        <v>0</v>
      </c>
      <c r="O10" s="58">
        <f t="shared" ref="O10" si="13">C10*$K$4</f>
        <v>0</v>
      </c>
      <c r="P10" s="84">
        <f t="shared" si="4"/>
        <v>0</v>
      </c>
      <c r="Q10" s="58">
        <f t="shared" ref="Q10" si="14">C10*$K$4</f>
        <v>0</v>
      </c>
      <c r="R10" s="34">
        <f t="shared" ref="R10" si="15">C10*$K$4</f>
        <v>0</v>
      </c>
      <c r="S10" s="34">
        <f t="shared" ref="S10" si="16">C10*$K$4</f>
        <v>0</v>
      </c>
      <c r="T10" s="84">
        <f t="shared" si="5"/>
        <v>0</v>
      </c>
      <c r="U10" s="167">
        <f t="shared" si="1"/>
        <v>0</v>
      </c>
    </row>
    <row r="11" spans="1:22" s="13" customFormat="1" ht="15.75" thickBot="1">
      <c r="A11" s="36" t="s">
        <v>32</v>
      </c>
      <c r="B11" s="37" t="s">
        <v>20</v>
      </c>
      <c r="C11" s="41"/>
      <c r="D11" s="38">
        <v>116168.76</v>
      </c>
      <c r="E11" s="41"/>
      <c r="F11" s="38">
        <v>87877.46</v>
      </c>
      <c r="G11" s="38">
        <v>86252.44</v>
      </c>
      <c r="H11" s="119">
        <f>D11+F11+G11+G12</f>
        <v>301629.7</v>
      </c>
      <c r="I11" s="40">
        <v>82955.19</v>
      </c>
      <c r="J11" s="38">
        <v>121154.74</v>
      </c>
      <c r="K11" s="38">
        <v>91376.76</v>
      </c>
      <c r="L11" s="68">
        <f>I11+J11+K11+K12+K13</f>
        <v>317406.45</v>
      </c>
      <c r="M11" s="40">
        <v>80468.960000000006</v>
      </c>
      <c r="N11" s="40">
        <v>96982.14</v>
      </c>
      <c r="O11" s="40">
        <v>78894.070000000007</v>
      </c>
      <c r="P11" s="68">
        <f>M11+N11+O11+O12+O13</f>
        <v>268344.95</v>
      </c>
      <c r="Q11" s="40">
        <v>98578.880000000005</v>
      </c>
      <c r="R11" s="38">
        <v>80898.899999999994</v>
      </c>
      <c r="S11" s="38">
        <v>90900.94</v>
      </c>
      <c r="T11" s="68">
        <f>SUM(Q11:S11)+S12+S13</f>
        <v>296257.89999999997</v>
      </c>
      <c r="U11" s="171">
        <f t="shared" si="1"/>
        <v>1183639</v>
      </c>
    </row>
    <row r="12" spans="1:22" s="13" customFormat="1">
      <c r="A12" s="148"/>
      <c r="B12" s="45" t="s">
        <v>37</v>
      </c>
      <c r="C12" s="243"/>
      <c r="D12" s="46"/>
      <c r="E12" s="243"/>
      <c r="F12" s="46"/>
      <c r="G12" s="232">
        <v>11331.04</v>
      </c>
      <c r="H12" s="98"/>
      <c r="I12" s="76"/>
      <c r="J12" s="46"/>
      <c r="K12" s="232">
        <f>6820+6501+1998.76</f>
        <v>15319.76</v>
      </c>
      <c r="L12" s="85"/>
      <c r="M12" s="76"/>
      <c r="N12" s="76"/>
      <c r="O12" s="231">
        <f>4880.5+1123+5996.28</f>
        <v>11999.779999999999</v>
      </c>
      <c r="P12" s="85"/>
      <c r="Q12" s="76"/>
      <c r="R12" s="46"/>
      <c r="S12" s="232">
        <f>6810+4943.84+3997.52+1727.82</f>
        <v>17479.18</v>
      </c>
      <c r="T12" s="85"/>
      <c r="U12" s="168">
        <f t="shared" si="1"/>
        <v>0</v>
      </c>
    </row>
    <row r="13" spans="1:22" s="13" customFormat="1">
      <c r="A13" s="143"/>
      <c r="B13" s="15" t="s">
        <v>72</v>
      </c>
      <c r="C13" s="49"/>
      <c r="D13" s="25"/>
      <c r="E13" s="49"/>
      <c r="F13" s="25"/>
      <c r="G13" s="25"/>
      <c r="H13" s="20"/>
      <c r="I13" s="28"/>
      <c r="J13" s="25"/>
      <c r="K13" s="29">
        <v>6600</v>
      </c>
      <c r="L13" s="22"/>
      <c r="M13" s="28"/>
      <c r="N13" s="28"/>
      <c r="O13" s="28"/>
      <c r="P13" s="22"/>
      <c r="Q13" s="28"/>
      <c r="R13" s="25"/>
      <c r="S13" s="29">
        <f>6600+1800</f>
        <v>8400</v>
      </c>
      <c r="T13" s="22"/>
      <c r="U13" s="165"/>
    </row>
    <row r="14" spans="1:22" s="13" customFormat="1">
      <c r="A14" s="143"/>
      <c r="B14" s="15" t="s">
        <v>21</v>
      </c>
      <c r="C14" s="49"/>
      <c r="D14" s="25">
        <f>D11-D6</f>
        <v>18811.126000000004</v>
      </c>
      <c r="E14" s="49"/>
      <c r="F14" s="25">
        <f t="shared" ref="F14:T14" si="17">F11-F6</f>
        <v>-9480.1739999999845</v>
      </c>
      <c r="G14" s="25">
        <f t="shared" si="17"/>
        <v>-11105.193999999989</v>
      </c>
      <c r="H14" s="22">
        <f t="shared" si="17"/>
        <v>9539.8880000000354</v>
      </c>
      <c r="I14" s="28">
        <f t="shared" si="17"/>
        <v>-14402.443999999989</v>
      </c>
      <c r="J14" s="25">
        <f t="shared" si="17"/>
        <v>23797.106000000014</v>
      </c>
      <c r="K14" s="25">
        <f t="shared" si="17"/>
        <v>-5980.8739999999962</v>
      </c>
      <c r="L14" s="22">
        <f t="shared" si="17"/>
        <v>25333.54800000001</v>
      </c>
      <c r="M14" s="28">
        <f t="shared" si="17"/>
        <v>-16888.673999999985</v>
      </c>
      <c r="N14" s="28">
        <f t="shared" si="17"/>
        <v>3710.5860000000102</v>
      </c>
      <c r="O14" s="28">
        <f t="shared" si="17"/>
        <v>-18463.563999999984</v>
      </c>
      <c r="P14" s="22">
        <f t="shared" si="17"/>
        <v>-19641.871999999974</v>
      </c>
      <c r="Q14" s="28">
        <f t="shared" si="17"/>
        <v>13887.526000000013</v>
      </c>
      <c r="R14" s="25">
        <f t="shared" si="17"/>
        <v>-14875.453999999998</v>
      </c>
      <c r="S14" s="25">
        <f t="shared" si="17"/>
        <v>-4873.4139999999898</v>
      </c>
      <c r="T14" s="22">
        <f t="shared" si="17"/>
        <v>20017.837999999989</v>
      </c>
      <c r="U14" s="165">
        <f t="shared" ref="U14:U29" si="18">H14+L14+P14+T14</f>
        <v>35249.40200000006</v>
      </c>
    </row>
    <row r="15" spans="1:22" s="13" customFormat="1">
      <c r="A15" s="143"/>
      <c r="B15" s="15"/>
      <c r="C15" s="49"/>
      <c r="D15" s="25"/>
      <c r="E15" s="49"/>
      <c r="F15" s="25"/>
      <c r="G15" s="25"/>
      <c r="H15" s="20"/>
      <c r="I15" s="28"/>
      <c r="J15" s="25"/>
      <c r="K15" s="25"/>
      <c r="L15" s="22"/>
      <c r="M15" s="28"/>
      <c r="N15" s="28"/>
      <c r="O15" s="28"/>
      <c r="P15" s="22"/>
      <c r="Q15" s="28"/>
      <c r="R15" s="25"/>
      <c r="S15" s="25"/>
      <c r="T15" s="22"/>
      <c r="U15" s="165">
        <f t="shared" si="18"/>
        <v>0</v>
      </c>
    </row>
    <row r="16" spans="1:22" s="13" customFormat="1" ht="25.5" customHeight="1">
      <c r="A16" s="141" t="s">
        <v>22</v>
      </c>
      <c r="B16" s="19" t="s">
        <v>23</v>
      </c>
      <c r="C16" s="49"/>
      <c r="D16" s="22">
        <f>SUM(D17:D25)</f>
        <v>59205.863999999994</v>
      </c>
      <c r="E16" s="49"/>
      <c r="F16" s="22">
        <f>SUM(F17:F25)</f>
        <v>67304.005999999994</v>
      </c>
      <c r="G16" s="22">
        <f>SUM(G17:G25)</f>
        <v>85642.005999999994</v>
      </c>
      <c r="H16" s="20">
        <f>SUM(D16:G16)</f>
        <v>212151.87599999999</v>
      </c>
      <c r="I16" s="22">
        <f>SUM(I17:I25)</f>
        <v>115532.00599999999</v>
      </c>
      <c r="J16" s="22">
        <f>SUM(J17:J25)</f>
        <v>67895.005999999994</v>
      </c>
      <c r="K16" s="22">
        <f>SUM(K17:K25)</f>
        <v>185404.74600000001</v>
      </c>
      <c r="L16" s="22">
        <f t="shared" ref="L16:L27" si="19">I16+J16+K16</f>
        <v>368831.75800000003</v>
      </c>
      <c r="M16" s="22">
        <f>SUM(M17:M25)</f>
        <v>75755.005999999994</v>
      </c>
      <c r="N16" s="22">
        <f>SUM(N17:N25)</f>
        <v>96472.925999999978</v>
      </c>
      <c r="O16" s="22">
        <f>SUM(O17:O25)</f>
        <v>63596.925999999999</v>
      </c>
      <c r="P16" s="20">
        <f>SUM(M16:O16)</f>
        <v>235824.85799999998</v>
      </c>
      <c r="Q16" s="22">
        <f>SUM(Q17:Q25)</f>
        <v>66802.725999999995</v>
      </c>
      <c r="R16" s="22">
        <f>SUM(R17:R25)</f>
        <v>145163.72600000002</v>
      </c>
      <c r="S16" s="22">
        <f>SUM(S17:S25)</f>
        <v>95750.695999999996</v>
      </c>
      <c r="T16" s="20">
        <f>SUM(Q16:S16)</f>
        <v>307717.14800000004</v>
      </c>
      <c r="U16" s="142">
        <f t="shared" si="18"/>
        <v>1124525.6400000001</v>
      </c>
    </row>
    <row r="17" spans="1:22" s="13" customFormat="1">
      <c r="A17" s="143" t="s">
        <v>24</v>
      </c>
      <c r="B17" s="15" t="s">
        <v>17</v>
      </c>
      <c r="C17" s="27">
        <v>2.57</v>
      </c>
      <c r="D17" s="25">
        <f t="shared" ref="D17:D24" si="20">C17*$K$4</f>
        <v>14796.517999999998</v>
      </c>
      <c r="E17" s="27">
        <v>2.8</v>
      </c>
      <c r="F17" s="25">
        <f>E17*K4</f>
        <v>16120.719999999998</v>
      </c>
      <c r="G17" s="25">
        <f>E17*K4</f>
        <v>16120.719999999998</v>
      </c>
      <c r="H17" s="20">
        <f>SUM(D17:G17)</f>
        <v>47040.757999999987</v>
      </c>
      <c r="I17" s="25">
        <f>E17*K4</f>
        <v>16120.719999999998</v>
      </c>
      <c r="J17" s="25">
        <f>E17*K4</f>
        <v>16120.719999999998</v>
      </c>
      <c r="K17" s="25">
        <f>E17*K4</f>
        <v>16120.719999999998</v>
      </c>
      <c r="L17" s="22">
        <f t="shared" si="19"/>
        <v>48362.159999999989</v>
      </c>
      <c r="M17" s="25">
        <f>E17*K4</f>
        <v>16120.719999999998</v>
      </c>
      <c r="N17" s="25">
        <f>E17*K4</f>
        <v>16120.719999999998</v>
      </c>
      <c r="O17" s="25">
        <f>E17*K4</f>
        <v>16120.719999999998</v>
      </c>
      <c r="P17" s="20">
        <f>SUM(M17:O17)</f>
        <v>48362.159999999989</v>
      </c>
      <c r="Q17" s="25">
        <f>E17*K4</f>
        <v>16120.719999999998</v>
      </c>
      <c r="R17" s="25">
        <f>E17*K4</f>
        <v>16120.719999999998</v>
      </c>
      <c r="S17" s="25">
        <f>E17*K4</f>
        <v>16120.719999999998</v>
      </c>
      <c r="T17" s="20">
        <f>SUM(Q17:S17)</f>
        <v>48362.159999999989</v>
      </c>
      <c r="U17" s="165">
        <f t="shared" si="18"/>
        <v>192127.23799999995</v>
      </c>
    </row>
    <row r="18" spans="1:22" s="13" customFormat="1">
      <c r="A18" s="143" t="s">
        <v>25</v>
      </c>
      <c r="B18" s="15" t="s">
        <v>26</v>
      </c>
      <c r="C18" s="27">
        <v>2.99</v>
      </c>
      <c r="D18" s="25">
        <f t="shared" si="20"/>
        <v>17214.626</v>
      </c>
      <c r="E18" s="27">
        <v>3.99</v>
      </c>
      <c r="F18" s="25">
        <f>E18*K4</f>
        <v>22972.025999999998</v>
      </c>
      <c r="G18" s="25">
        <f>E18*K4</f>
        <v>22972.025999999998</v>
      </c>
      <c r="H18" s="20">
        <f t="shared" ref="H18:H28" si="21">SUM(D18:G18)</f>
        <v>63162.667999999998</v>
      </c>
      <c r="I18" s="25">
        <f>G18</f>
        <v>22972.025999999998</v>
      </c>
      <c r="J18" s="25">
        <f>I18</f>
        <v>22972.025999999998</v>
      </c>
      <c r="K18" s="25">
        <f>J18</f>
        <v>22972.025999999998</v>
      </c>
      <c r="L18" s="22">
        <f t="shared" si="19"/>
        <v>68916.077999999994</v>
      </c>
      <c r="M18" s="28">
        <f>K18</f>
        <v>22972.025999999998</v>
      </c>
      <c r="N18" s="28">
        <f>M18</f>
        <v>22972.025999999998</v>
      </c>
      <c r="O18" s="28">
        <f>N18</f>
        <v>22972.025999999998</v>
      </c>
      <c r="P18" s="20">
        <f>SUM(M18:O18)</f>
        <v>68916.077999999994</v>
      </c>
      <c r="Q18" s="28">
        <f>O18</f>
        <v>22972.025999999998</v>
      </c>
      <c r="R18" s="25">
        <f>Q18</f>
        <v>22972.025999999998</v>
      </c>
      <c r="S18" s="25">
        <f>R18</f>
        <v>22972.025999999998</v>
      </c>
      <c r="T18" s="20">
        <f>SUM(Q18:S18)</f>
        <v>68916.077999999994</v>
      </c>
      <c r="U18" s="165">
        <f t="shared" si="18"/>
        <v>269910.90199999994</v>
      </c>
    </row>
    <row r="19" spans="1:22" s="13" customFormat="1" ht="15.75" thickBot="1">
      <c r="A19" s="146" t="s">
        <v>27</v>
      </c>
      <c r="B19" s="33" t="s">
        <v>30</v>
      </c>
      <c r="C19" s="48">
        <v>1.86</v>
      </c>
      <c r="D19" s="34">
        <f>C19*K4</f>
        <v>10708.763999999999</v>
      </c>
      <c r="E19" s="48">
        <v>2.2000000000000002</v>
      </c>
      <c r="F19" s="34">
        <f>E19*K4</f>
        <v>12666.28</v>
      </c>
      <c r="G19" s="34">
        <f>E19*K4</f>
        <v>12666.28</v>
      </c>
      <c r="H19" s="66">
        <f t="shared" si="21"/>
        <v>36043.523999999998</v>
      </c>
      <c r="I19" s="34">
        <f>E19*K4</f>
        <v>12666.28</v>
      </c>
      <c r="J19" s="34">
        <f>E19*K4</f>
        <v>12666.28</v>
      </c>
      <c r="K19" s="34">
        <f>E19*K4</f>
        <v>12666.28</v>
      </c>
      <c r="L19" s="84">
        <f t="shared" si="19"/>
        <v>37998.840000000004</v>
      </c>
      <c r="M19" s="34">
        <f>E19*K4</f>
        <v>12666.28</v>
      </c>
      <c r="N19" s="91">
        <v>8580.2000000000007</v>
      </c>
      <c r="O19" s="34">
        <f>N19</f>
        <v>8580.2000000000007</v>
      </c>
      <c r="P19" s="66">
        <f t="shared" ref="P19:P28" si="22">SUM(M19:O19)</f>
        <v>29826.680000000004</v>
      </c>
      <c r="Q19" s="359">
        <v>0</v>
      </c>
      <c r="R19" s="91">
        <v>11083</v>
      </c>
      <c r="S19" s="91">
        <v>11083</v>
      </c>
      <c r="T19" s="66">
        <f t="shared" ref="T19:T28" si="23">SUM(Q19:S19)</f>
        <v>22166</v>
      </c>
      <c r="U19" s="167">
        <f t="shared" si="18"/>
        <v>126035.04400000001</v>
      </c>
    </row>
    <row r="20" spans="1:22" s="13" customFormat="1" ht="16.5" customHeight="1" thickBot="1">
      <c r="A20" s="130" t="s">
        <v>28</v>
      </c>
      <c r="B20" s="131" t="s">
        <v>40</v>
      </c>
      <c r="C20" s="41"/>
      <c r="D20" s="38">
        <v>11074</v>
      </c>
      <c r="E20" s="41"/>
      <c r="F20" s="38">
        <v>0</v>
      </c>
      <c r="G20" s="38">
        <v>18338</v>
      </c>
      <c r="H20" s="119">
        <f t="shared" si="21"/>
        <v>29412</v>
      </c>
      <c r="I20" s="40">
        <v>48228</v>
      </c>
      <c r="J20" s="38">
        <v>591</v>
      </c>
      <c r="K20" s="38">
        <v>115431</v>
      </c>
      <c r="L20" s="68">
        <f t="shared" si="19"/>
        <v>164250</v>
      </c>
      <c r="M20" s="40">
        <v>8451</v>
      </c>
      <c r="N20" s="40">
        <v>33255</v>
      </c>
      <c r="O20" s="40">
        <v>379</v>
      </c>
      <c r="P20" s="119">
        <f t="shared" si="22"/>
        <v>42085</v>
      </c>
      <c r="Q20" s="40">
        <v>12165</v>
      </c>
      <c r="R20" s="38">
        <v>79443</v>
      </c>
      <c r="S20" s="38">
        <v>27849</v>
      </c>
      <c r="T20" s="119">
        <f t="shared" si="23"/>
        <v>119457</v>
      </c>
      <c r="U20" s="171">
        <f t="shared" si="18"/>
        <v>355204</v>
      </c>
    </row>
    <row r="21" spans="1:22" s="13" customFormat="1">
      <c r="A21" s="148" t="s">
        <v>33</v>
      </c>
      <c r="B21" s="45" t="s">
        <v>39</v>
      </c>
      <c r="C21" s="128">
        <v>0.82</v>
      </c>
      <c r="D21" s="46">
        <f t="shared" si="20"/>
        <v>4721.0679999999993</v>
      </c>
      <c r="E21" s="128">
        <v>1</v>
      </c>
      <c r="F21" s="46">
        <f>E21*K4</f>
        <v>5757.4</v>
      </c>
      <c r="G21" s="46">
        <f>F21</f>
        <v>5757.4</v>
      </c>
      <c r="H21" s="98">
        <f t="shared" si="21"/>
        <v>16236.867999999999</v>
      </c>
      <c r="I21" s="46">
        <f>G21</f>
        <v>5757.4</v>
      </c>
      <c r="J21" s="75">
        <f t="shared" ref="J21:K23" si="24">I21</f>
        <v>5757.4</v>
      </c>
      <c r="K21" s="46">
        <f t="shared" si="24"/>
        <v>5757.4</v>
      </c>
      <c r="L21" s="85">
        <f t="shared" si="19"/>
        <v>17272.199999999997</v>
      </c>
      <c r="M21" s="76">
        <f>K21</f>
        <v>5757.4</v>
      </c>
      <c r="N21" s="76">
        <f t="shared" ref="N21:O24" si="25">M21</f>
        <v>5757.4</v>
      </c>
      <c r="O21" s="76">
        <f t="shared" si="25"/>
        <v>5757.4</v>
      </c>
      <c r="P21" s="124">
        <f t="shared" si="22"/>
        <v>17272.199999999997</v>
      </c>
      <c r="Q21" s="76">
        <f>O21</f>
        <v>5757.4</v>
      </c>
      <c r="R21" s="46">
        <f t="shared" ref="R21:S24" si="26">Q21</f>
        <v>5757.4</v>
      </c>
      <c r="S21" s="46">
        <f t="shared" si="26"/>
        <v>5757.4</v>
      </c>
      <c r="T21" s="124">
        <f t="shared" si="23"/>
        <v>17272.199999999997</v>
      </c>
      <c r="U21" s="168">
        <f t="shared" si="18"/>
        <v>68053.467999999993</v>
      </c>
    </row>
    <row r="22" spans="1:22" s="13" customFormat="1">
      <c r="A22" s="143" t="s">
        <v>34</v>
      </c>
      <c r="B22" s="15" t="s">
        <v>41</v>
      </c>
      <c r="C22" s="48">
        <v>0.12</v>
      </c>
      <c r="D22" s="25">
        <f t="shared" si="20"/>
        <v>690.88799999999992</v>
      </c>
      <c r="E22" s="48">
        <v>0.2</v>
      </c>
      <c r="F22" s="25">
        <f>E22*K4</f>
        <v>1151.48</v>
      </c>
      <c r="G22" s="25">
        <f>F22</f>
        <v>1151.48</v>
      </c>
      <c r="H22" s="20">
        <f t="shared" si="21"/>
        <v>2994.0479999999998</v>
      </c>
      <c r="I22" s="25">
        <f>G22</f>
        <v>1151.48</v>
      </c>
      <c r="J22" s="34">
        <f t="shared" si="24"/>
        <v>1151.48</v>
      </c>
      <c r="K22" s="25">
        <f t="shared" si="24"/>
        <v>1151.48</v>
      </c>
      <c r="L22" s="22">
        <f t="shared" si="19"/>
        <v>3454.44</v>
      </c>
      <c r="M22" s="28">
        <f>K22</f>
        <v>1151.48</v>
      </c>
      <c r="N22" s="28">
        <f t="shared" si="25"/>
        <v>1151.48</v>
      </c>
      <c r="O22" s="28">
        <f t="shared" si="25"/>
        <v>1151.48</v>
      </c>
      <c r="P22" s="66">
        <f t="shared" si="22"/>
        <v>3454.44</v>
      </c>
      <c r="Q22" s="28">
        <f>O22</f>
        <v>1151.48</v>
      </c>
      <c r="R22" s="25">
        <f t="shared" si="26"/>
        <v>1151.48</v>
      </c>
      <c r="S22" s="25">
        <f t="shared" si="26"/>
        <v>1151.48</v>
      </c>
      <c r="T22" s="66">
        <f t="shared" si="23"/>
        <v>3454.44</v>
      </c>
      <c r="U22" s="165">
        <f t="shared" si="18"/>
        <v>13357.368</v>
      </c>
    </row>
    <row r="23" spans="1:22" s="13" customFormat="1">
      <c r="A23" s="143" t="s">
        <v>35</v>
      </c>
      <c r="B23" s="15" t="s">
        <v>123</v>
      </c>
      <c r="C23" s="48"/>
      <c r="D23" s="25"/>
      <c r="E23" s="48">
        <v>1.5</v>
      </c>
      <c r="F23" s="25">
        <f>E23*K4</f>
        <v>8636.0999999999985</v>
      </c>
      <c r="G23" s="25">
        <f>F23</f>
        <v>8636.0999999999985</v>
      </c>
      <c r="H23" s="20">
        <f>G23+F23+D23</f>
        <v>17272.199999999997</v>
      </c>
      <c r="I23" s="25">
        <f>G23</f>
        <v>8636.0999999999985</v>
      </c>
      <c r="J23" s="34">
        <f t="shared" si="24"/>
        <v>8636.0999999999985</v>
      </c>
      <c r="K23" s="25">
        <f t="shared" si="24"/>
        <v>8636.0999999999985</v>
      </c>
      <c r="L23" s="22">
        <f>K23+J23+I23</f>
        <v>25908.299999999996</v>
      </c>
      <c r="M23" s="28">
        <f>K23</f>
        <v>8636.0999999999985</v>
      </c>
      <c r="N23" s="28">
        <f>M23</f>
        <v>8636.0999999999985</v>
      </c>
      <c r="O23" s="28">
        <f>N23</f>
        <v>8636.0999999999985</v>
      </c>
      <c r="P23" s="66">
        <f t="shared" si="22"/>
        <v>25908.299999999996</v>
      </c>
      <c r="Q23" s="28">
        <f>O23</f>
        <v>8636.0999999999985</v>
      </c>
      <c r="R23" s="25">
        <f>Q23</f>
        <v>8636.0999999999985</v>
      </c>
      <c r="S23" s="25">
        <f>R23</f>
        <v>8636.0999999999985</v>
      </c>
      <c r="T23" s="66">
        <f>S23+R23+Q23</f>
        <v>25908.299999999996</v>
      </c>
      <c r="U23" s="165">
        <f t="shared" si="18"/>
        <v>94997.099999999977</v>
      </c>
    </row>
    <row r="24" spans="1:22" s="13" customFormat="1">
      <c r="A24" s="143" t="s">
        <v>35</v>
      </c>
      <c r="B24" s="15" t="s">
        <v>29</v>
      </c>
      <c r="C24" s="27"/>
      <c r="D24" s="25">
        <f t="shared" si="20"/>
        <v>0</v>
      </c>
      <c r="E24" s="27"/>
      <c r="F24" s="25">
        <f t="shared" ref="F24" si="27">C24*$K$4</f>
        <v>0</v>
      </c>
      <c r="G24" s="25">
        <f t="shared" ref="G24" si="28">C24*$K$4</f>
        <v>0</v>
      </c>
      <c r="H24" s="20">
        <f t="shared" si="21"/>
        <v>0</v>
      </c>
      <c r="I24" s="25">
        <f t="shared" ref="I24" si="29">C24*$K$4</f>
        <v>0</v>
      </c>
      <c r="J24" s="25">
        <f t="shared" ref="J24" si="30">C24*$K$4</f>
        <v>0</v>
      </c>
      <c r="K24" s="25">
        <f>J24</f>
        <v>0</v>
      </c>
      <c r="L24" s="22">
        <f t="shared" si="19"/>
        <v>0</v>
      </c>
      <c r="M24" s="28">
        <f>K24</f>
        <v>0</v>
      </c>
      <c r="N24" s="28">
        <f t="shared" si="25"/>
        <v>0</v>
      </c>
      <c r="O24" s="28">
        <f t="shared" si="25"/>
        <v>0</v>
      </c>
      <c r="P24" s="66">
        <f t="shared" si="22"/>
        <v>0</v>
      </c>
      <c r="Q24" s="28">
        <f>O24</f>
        <v>0</v>
      </c>
      <c r="R24" s="25">
        <f t="shared" si="26"/>
        <v>0</v>
      </c>
      <c r="S24" s="25">
        <f t="shared" si="26"/>
        <v>0</v>
      </c>
      <c r="T24" s="66">
        <f t="shared" si="23"/>
        <v>0</v>
      </c>
      <c r="U24" s="165">
        <f t="shared" si="18"/>
        <v>0</v>
      </c>
    </row>
    <row r="25" spans="1:22" s="13" customFormat="1">
      <c r="A25" s="143" t="s">
        <v>101</v>
      </c>
      <c r="B25" s="15" t="s">
        <v>84</v>
      </c>
      <c r="C25" s="49"/>
      <c r="D25" s="25">
        <f>SUM(D27:D28)</f>
        <v>0</v>
      </c>
      <c r="E25" s="49"/>
      <c r="F25" s="25">
        <f>SUM(F27:F28)</f>
        <v>0</v>
      </c>
      <c r="G25" s="25">
        <f>SUM(G27:G28)</f>
        <v>0</v>
      </c>
      <c r="H25" s="20">
        <f t="shared" si="21"/>
        <v>0</v>
      </c>
      <c r="I25" s="25">
        <f>SUM(I27:I28)</f>
        <v>0</v>
      </c>
      <c r="J25" s="25">
        <f>SUM(J27:J28)</f>
        <v>0</v>
      </c>
      <c r="K25" s="29">
        <f>SUM(K27:K28)</f>
        <v>2669.74</v>
      </c>
      <c r="L25" s="22">
        <f t="shared" si="19"/>
        <v>2669.74</v>
      </c>
      <c r="M25" s="28">
        <f>SUM(M27:M28)</f>
        <v>0</v>
      </c>
      <c r="N25" s="28">
        <f>SUM(N27:N28)</f>
        <v>0</v>
      </c>
      <c r="O25" s="28">
        <f>SUM(O27:O28)</f>
        <v>0</v>
      </c>
      <c r="P25" s="66">
        <f t="shared" si="22"/>
        <v>0</v>
      </c>
      <c r="Q25" s="28">
        <f>SUM(Q27:Q28)</f>
        <v>0</v>
      </c>
      <c r="R25" s="25">
        <f>SUM(R27:R28)</f>
        <v>0</v>
      </c>
      <c r="S25" s="29">
        <f>SUM(S27:S28)</f>
        <v>2180.9699999999998</v>
      </c>
      <c r="T25" s="66">
        <f t="shared" si="23"/>
        <v>2180.9699999999998</v>
      </c>
      <c r="U25" s="165">
        <f t="shared" si="18"/>
        <v>4850.7099999999991</v>
      </c>
    </row>
    <row r="26" spans="1:22" s="13" customFormat="1">
      <c r="A26" s="143"/>
      <c r="B26" s="15" t="s">
        <v>44</v>
      </c>
      <c r="C26" s="49"/>
      <c r="D26" s="25"/>
      <c r="E26" s="49"/>
      <c r="F26" s="25"/>
      <c r="G26" s="25"/>
      <c r="H26" s="20">
        <f t="shared" si="21"/>
        <v>0</v>
      </c>
      <c r="I26" s="28"/>
      <c r="J26" s="25"/>
      <c r="K26" s="25"/>
      <c r="L26" s="22">
        <f t="shared" si="19"/>
        <v>0</v>
      </c>
      <c r="M26" s="28"/>
      <c r="N26" s="28"/>
      <c r="O26" s="28"/>
      <c r="P26" s="66">
        <f t="shared" si="22"/>
        <v>0</v>
      </c>
      <c r="Q26" s="28"/>
      <c r="R26" s="25"/>
      <c r="S26" s="25"/>
      <c r="T26" s="66">
        <f t="shared" si="23"/>
        <v>0</v>
      </c>
      <c r="U26" s="165">
        <f t="shared" si="18"/>
        <v>0</v>
      </c>
    </row>
    <row r="27" spans="1:22" s="13" customFormat="1">
      <c r="A27" s="143"/>
      <c r="B27" s="15" t="s">
        <v>83</v>
      </c>
      <c r="C27" s="49"/>
      <c r="D27" s="25"/>
      <c r="E27" s="49"/>
      <c r="F27" s="25"/>
      <c r="G27" s="29"/>
      <c r="H27" s="20">
        <f t="shared" si="21"/>
        <v>0</v>
      </c>
      <c r="I27" s="28"/>
      <c r="J27" s="25"/>
      <c r="K27" s="29"/>
      <c r="L27" s="22">
        <f t="shared" si="19"/>
        <v>0</v>
      </c>
      <c r="M27" s="30"/>
      <c r="N27" s="28"/>
      <c r="O27" s="28"/>
      <c r="P27" s="66">
        <f t="shared" si="22"/>
        <v>0</v>
      </c>
      <c r="Q27" s="28"/>
      <c r="R27" s="25"/>
      <c r="S27" s="29">
        <f>200+676.19+784.17+265.39+255.22</f>
        <v>2180.9699999999998</v>
      </c>
      <c r="T27" s="66">
        <f t="shared" si="23"/>
        <v>2180.9699999999998</v>
      </c>
      <c r="U27" s="165">
        <f t="shared" si="18"/>
        <v>2180.9699999999998</v>
      </c>
    </row>
    <row r="28" spans="1:22" s="13" customFormat="1">
      <c r="A28" s="143"/>
      <c r="B28" s="15" t="s">
        <v>53</v>
      </c>
      <c r="C28" s="49"/>
      <c r="D28" s="25"/>
      <c r="E28" s="49"/>
      <c r="F28" s="25"/>
      <c r="G28" s="29"/>
      <c r="H28" s="20">
        <f t="shared" si="21"/>
        <v>0</v>
      </c>
      <c r="I28" s="28"/>
      <c r="J28" s="25"/>
      <c r="K28" s="29">
        <v>2669.74</v>
      </c>
      <c r="L28" s="66">
        <f t="shared" ref="L28" si="31">SUM(I28:K28)</f>
        <v>2669.74</v>
      </c>
      <c r="M28" s="30"/>
      <c r="N28" s="28"/>
      <c r="O28" s="30"/>
      <c r="P28" s="66">
        <f t="shared" si="22"/>
        <v>0</v>
      </c>
      <c r="Q28" s="28"/>
      <c r="R28" s="25"/>
      <c r="S28" s="25"/>
      <c r="T28" s="66">
        <f t="shared" si="23"/>
        <v>0</v>
      </c>
      <c r="U28" s="165">
        <f t="shared" si="18"/>
        <v>2669.74</v>
      </c>
    </row>
    <row r="29" spans="1:22" s="13" customFormat="1" ht="15.75" thickBot="1">
      <c r="A29" s="150"/>
      <c r="B29" s="151" t="s">
        <v>43</v>
      </c>
      <c r="C29" s="169"/>
      <c r="D29" s="153"/>
      <c r="E29" s="320"/>
      <c r="F29" s="154"/>
      <c r="G29" s="154"/>
      <c r="H29" s="155">
        <f>H11-H16</f>
        <v>89477.824000000022</v>
      </c>
      <c r="I29" s="156"/>
      <c r="J29" s="154"/>
      <c r="K29" s="154"/>
      <c r="L29" s="155">
        <f>L11-L16</f>
        <v>-51425.308000000019</v>
      </c>
      <c r="M29" s="157"/>
      <c r="N29" s="157"/>
      <c r="O29" s="156"/>
      <c r="P29" s="155">
        <f>P11-P16</f>
        <v>32520.092000000033</v>
      </c>
      <c r="Q29" s="156"/>
      <c r="R29" s="154"/>
      <c r="S29" s="154"/>
      <c r="T29" s="155">
        <f>T11-T16</f>
        <v>-11459.24800000008</v>
      </c>
      <c r="U29" s="170">
        <f t="shared" si="18"/>
        <v>59113.359999999957</v>
      </c>
      <c r="V29" s="126"/>
    </row>
    <row r="30" spans="1:22" s="13" customFormat="1">
      <c r="D30" s="50"/>
      <c r="E30" s="50"/>
      <c r="H30" s="14"/>
      <c r="L30" s="14"/>
      <c r="M30" s="14"/>
      <c r="N30" s="14"/>
      <c r="O30" s="14"/>
      <c r="P30" s="14"/>
      <c r="Q30" s="14"/>
    </row>
    <row r="31" spans="1:22" s="13" customFormat="1"/>
    <row r="32" spans="1:22" s="13" customFormat="1">
      <c r="L32" s="50"/>
    </row>
    <row r="33" spans="7:8">
      <c r="G33" s="6"/>
      <c r="H33" s="6"/>
    </row>
  </sheetData>
  <mergeCells count="4">
    <mergeCell ref="A1:L1"/>
    <mergeCell ref="A2:L2"/>
    <mergeCell ref="A3:L3"/>
    <mergeCell ref="R3:V3"/>
  </mergeCells>
  <pageMargins left="0.23622047244094491" right="0.23622047244094491" top="0.74803149606299213" bottom="0.74803149606299213" header="0.31496062992125984" footer="0.31496062992125984"/>
  <pageSetup paperSize="9" scale="62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2"/>
  <sheetViews>
    <sheetView zoomScaleNormal="100" workbookViewId="0">
      <selection activeCell="A33" sqref="A33:XFD33"/>
    </sheetView>
  </sheetViews>
  <sheetFormatPr defaultRowHeight="15"/>
  <cols>
    <col min="1" max="1" width="5.85546875" customWidth="1"/>
    <col min="2" max="2" width="33.28515625" customWidth="1"/>
    <col min="3" max="3" width="10.7109375" customWidth="1"/>
    <col min="4" max="4" width="9.140625" customWidth="1"/>
    <col min="5" max="6" width="9" customWidth="1"/>
    <col min="7" max="7" width="9.28515625" customWidth="1"/>
    <col min="8" max="8" width="11" customWidth="1"/>
    <col min="9" max="9" width="9" customWidth="1"/>
    <col min="10" max="10" width="9.5703125" customWidth="1"/>
    <col min="11" max="11" width="10.85546875" customWidth="1"/>
    <col min="12" max="12" width="9.28515625" customWidth="1"/>
    <col min="13" max="13" width="8.42578125" customWidth="1"/>
    <col min="14" max="14" width="10.42578125" customWidth="1"/>
    <col min="15" max="15" width="11" customWidth="1"/>
    <col min="16" max="16" width="10.140625" customWidth="1"/>
    <col min="17" max="17" width="10.85546875" customWidth="1"/>
    <col min="18" max="18" width="11.5703125" customWidth="1"/>
    <col min="19" max="19" width="10.7109375" customWidth="1"/>
    <col min="20" max="20" width="9.42578125" customWidth="1"/>
    <col min="21" max="29" width="9.140625" customWidth="1"/>
  </cols>
  <sheetData>
    <row r="1" spans="1:22" s="13" customForma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R1" s="13" t="s">
        <v>94</v>
      </c>
    </row>
    <row r="2" spans="1:22" s="13" customFormat="1">
      <c r="A2" s="368" t="s">
        <v>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R2" s="13" t="s">
        <v>95</v>
      </c>
    </row>
    <row r="3" spans="1:22" s="13" customFormat="1">
      <c r="A3" s="374" t="s">
        <v>118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R3" s="373" t="s">
        <v>138</v>
      </c>
      <c r="S3" s="373"/>
      <c r="T3" s="373"/>
      <c r="U3" s="373"/>
      <c r="V3" s="373"/>
    </row>
    <row r="4" spans="1:22" s="13" customFormat="1">
      <c r="B4" s="13" t="s">
        <v>68</v>
      </c>
      <c r="K4" s="13">
        <v>2708.9</v>
      </c>
    </row>
    <row r="5" spans="1:22" s="13" customFormat="1">
      <c r="A5" s="15"/>
      <c r="B5" s="16" t="s">
        <v>2</v>
      </c>
      <c r="C5" s="64" t="s">
        <v>93</v>
      </c>
      <c r="D5" s="16" t="s">
        <v>4</v>
      </c>
      <c r="E5" s="16" t="s">
        <v>5</v>
      </c>
      <c r="F5" s="64" t="s">
        <v>93</v>
      </c>
      <c r="G5" s="16" t="s">
        <v>6</v>
      </c>
      <c r="H5" s="122" t="s">
        <v>7</v>
      </c>
      <c r="I5" s="17" t="s">
        <v>8</v>
      </c>
      <c r="J5" s="17" t="s">
        <v>9</v>
      </c>
      <c r="K5" s="17" t="s">
        <v>10</v>
      </c>
      <c r="L5" s="18" t="s">
        <v>11</v>
      </c>
      <c r="M5" s="17" t="s">
        <v>54</v>
      </c>
      <c r="N5" s="17" t="s">
        <v>55</v>
      </c>
      <c r="O5" s="17" t="s">
        <v>56</v>
      </c>
      <c r="P5" s="18" t="s">
        <v>57</v>
      </c>
      <c r="Q5" s="17" t="s">
        <v>63</v>
      </c>
      <c r="R5" s="16" t="s">
        <v>64</v>
      </c>
      <c r="S5" s="16" t="s">
        <v>65</v>
      </c>
      <c r="T5" s="18" t="s">
        <v>66</v>
      </c>
      <c r="U5" s="15" t="s">
        <v>71</v>
      </c>
    </row>
    <row r="6" spans="1:22" s="13" customFormat="1" ht="40.5" customHeight="1">
      <c r="A6" s="31" t="s">
        <v>12</v>
      </c>
      <c r="B6" s="19" t="s">
        <v>13</v>
      </c>
      <c r="C6" s="20"/>
      <c r="D6" s="20">
        <f>D7+D8+D9+D10</f>
        <v>45563.697999999997</v>
      </c>
      <c r="E6" s="20">
        <f>E7+E8+E9+E10</f>
        <v>45564.271000000001</v>
      </c>
      <c r="F6" s="20"/>
      <c r="G6" s="20">
        <f>G7+G8+G9+G10</f>
        <v>45563.698000000004</v>
      </c>
      <c r="H6" s="20">
        <f>SUM(H7:H10)</f>
        <v>136708.48700000002</v>
      </c>
      <c r="I6" s="20">
        <f>I7+I8+I9+I10</f>
        <v>45563.698000000004</v>
      </c>
      <c r="J6" s="20">
        <f t="shared" ref="J6:K6" si="0">J7+J8+J9+J10</f>
        <v>45563.698000000004</v>
      </c>
      <c r="K6" s="20">
        <f t="shared" si="0"/>
        <v>45563.698000000004</v>
      </c>
      <c r="L6" s="20">
        <f t="shared" ref="L6:T6" si="1">SUM(L7:L10)</f>
        <v>136691.09400000001</v>
      </c>
      <c r="M6" s="20">
        <f>M7+M8+M9+M10</f>
        <v>45563.698000000004</v>
      </c>
      <c r="N6" s="20">
        <f t="shared" ref="N6:O6" si="2">N7+N8+N9+N10</f>
        <v>45563.698000000004</v>
      </c>
      <c r="O6" s="20">
        <f t="shared" si="2"/>
        <v>45563.698000000004</v>
      </c>
      <c r="P6" s="20">
        <f t="shared" si="1"/>
        <v>136691.09400000001</v>
      </c>
      <c r="Q6" s="20">
        <f>Q7+Q8+Q9+Q10</f>
        <v>45563.698000000004</v>
      </c>
      <c r="R6" s="20">
        <f t="shared" ref="R6:S6" si="3">R7+R8+R9+R10</f>
        <v>45563.698000000004</v>
      </c>
      <c r="S6" s="20">
        <f t="shared" si="3"/>
        <v>45563.698000000004</v>
      </c>
      <c r="T6" s="20">
        <f t="shared" si="1"/>
        <v>136691.09400000001</v>
      </c>
      <c r="U6" s="22">
        <f t="shared" ref="U6:U11" si="4">H6+L6+P6+T6</f>
        <v>546781.76900000009</v>
      </c>
    </row>
    <row r="7" spans="1:22" s="13" customFormat="1">
      <c r="A7" s="23" t="s">
        <v>14</v>
      </c>
      <c r="B7" s="15" t="s">
        <v>15</v>
      </c>
      <c r="C7" s="70">
        <v>11.82</v>
      </c>
      <c r="D7" s="25">
        <f>C7*K4</f>
        <v>32019.198</v>
      </c>
      <c r="E7" s="25">
        <f>C7*$K$4</f>
        <v>32019.198</v>
      </c>
      <c r="F7" s="70">
        <v>10.94</v>
      </c>
      <c r="G7" s="25">
        <f>F7*K4</f>
        <v>29635.365999999998</v>
      </c>
      <c r="H7" s="20">
        <f>SUM(D7:G7)</f>
        <v>93684.702000000005</v>
      </c>
      <c r="I7" s="25">
        <f>G7</f>
        <v>29635.365999999998</v>
      </c>
      <c r="J7" s="25">
        <f>I7</f>
        <v>29635.365999999998</v>
      </c>
      <c r="K7" s="28">
        <f>J7</f>
        <v>29635.365999999998</v>
      </c>
      <c r="L7" s="22">
        <f>I7+J7+K7</f>
        <v>88906.097999999998</v>
      </c>
      <c r="M7" s="28">
        <f xml:space="preserve"> K7</f>
        <v>29635.365999999998</v>
      </c>
      <c r="N7" s="28">
        <f>M7</f>
        <v>29635.365999999998</v>
      </c>
      <c r="O7" s="28">
        <f>N7</f>
        <v>29635.365999999998</v>
      </c>
      <c r="P7" s="22">
        <f>SUM(M7:O7)</f>
        <v>88906.097999999998</v>
      </c>
      <c r="Q7" s="28">
        <f>O7</f>
        <v>29635.365999999998</v>
      </c>
      <c r="R7" s="28">
        <f>Q7</f>
        <v>29635.365999999998</v>
      </c>
      <c r="S7" s="28">
        <f>R7</f>
        <v>29635.365999999998</v>
      </c>
      <c r="T7" s="22">
        <f>SUM(Q7:S7)</f>
        <v>88906.097999999998</v>
      </c>
      <c r="U7" s="28">
        <f t="shared" ref="U7:U9" si="5">T7+P7+L7+H7</f>
        <v>360402.99599999998</v>
      </c>
    </row>
    <row r="8" spans="1:22" s="13" customFormat="1">
      <c r="A8" s="23" t="s">
        <v>16</v>
      </c>
      <c r="B8" s="15" t="s">
        <v>17</v>
      </c>
      <c r="C8" s="70">
        <v>2.57</v>
      </c>
      <c r="D8" s="25">
        <f>C8*K4</f>
        <v>6961.8729999999996</v>
      </c>
      <c r="E8" s="25">
        <v>6962</v>
      </c>
      <c r="F8" s="70">
        <v>2.8</v>
      </c>
      <c r="G8" s="25">
        <f>F8*K4</f>
        <v>7584.92</v>
      </c>
      <c r="H8" s="20">
        <f t="shared" ref="H8:H10" si="6">SUM(D8:G8)</f>
        <v>21511.593000000001</v>
      </c>
      <c r="I8" s="25">
        <f>F8*K4</f>
        <v>7584.92</v>
      </c>
      <c r="J8" s="25">
        <f>F8*K4</f>
        <v>7584.92</v>
      </c>
      <c r="K8" s="25">
        <f>F8*K4</f>
        <v>7584.92</v>
      </c>
      <c r="L8" s="22">
        <f>I8+J8+K8</f>
        <v>22754.760000000002</v>
      </c>
      <c r="M8" s="25">
        <f>F8*K4</f>
        <v>7584.92</v>
      </c>
      <c r="N8" s="25">
        <f>F8*K4</f>
        <v>7584.92</v>
      </c>
      <c r="O8" s="25">
        <f>F8*K4</f>
        <v>7584.92</v>
      </c>
      <c r="P8" s="22">
        <f t="shared" ref="P8:P10" si="7">SUM(M8:O8)</f>
        <v>22754.760000000002</v>
      </c>
      <c r="Q8" s="25">
        <f>F8*K4</f>
        <v>7584.92</v>
      </c>
      <c r="R8" s="25">
        <f>F8*K4</f>
        <v>7584.92</v>
      </c>
      <c r="S8" s="25">
        <f>F8*K4</f>
        <v>7584.92</v>
      </c>
      <c r="T8" s="22">
        <f t="shared" ref="T8:T10" si="8">SUM(Q8:S8)</f>
        <v>22754.760000000002</v>
      </c>
      <c r="U8" s="28">
        <f t="shared" si="5"/>
        <v>89775.872999999992</v>
      </c>
    </row>
    <row r="9" spans="1:22" s="13" customFormat="1">
      <c r="A9" s="23" t="s">
        <v>18</v>
      </c>
      <c r="B9" s="15" t="s">
        <v>30</v>
      </c>
      <c r="C9" s="70">
        <v>1.86</v>
      </c>
      <c r="D9" s="25">
        <f>C9*K4</f>
        <v>5038.5540000000001</v>
      </c>
      <c r="E9" s="25">
        <v>5039</v>
      </c>
      <c r="F9" s="70">
        <v>2.2000000000000002</v>
      </c>
      <c r="G9" s="25">
        <f>F9*K4</f>
        <v>5959.5800000000008</v>
      </c>
      <c r="H9" s="20">
        <f t="shared" si="6"/>
        <v>16039.334000000003</v>
      </c>
      <c r="I9" s="25">
        <f>F9*K4</f>
        <v>5959.5800000000008</v>
      </c>
      <c r="J9" s="25">
        <f>F9*K4</f>
        <v>5959.5800000000008</v>
      </c>
      <c r="K9" s="25">
        <f>F9*K4</f>
        <v>5959.5800000000008</v>
      </c>
      <c r="L9" s="22">
        <f>I9+J9+K9</f>
        <v>17878.740000000002</v>
      </c>
      <c r="M9" s="25">
        <f>F9*K4</f>
        <v>5959.5800000000008</v>
      </c>
      <c r="N9" s="25">
        <f>F9*K4</f>
        <v>5959.5800000000008</v>
      </c>
      <c r="O9" s="25">
        <f>F9*K4</f>
        <v>5959.5800000000008</v>
      </c>
      <c r="P9" s="22">
        <f t="shared" si="7"/>
        <v>17878.740000000002</v>
      </c>
      <c r="Q9" s="25">
        <f>F9*K4</f>
        <v>5959.5800000000008</v>
      </c>
      <c r="R9" s="25">
        <f>F9*K4</f>
        <v>5959.5800000000008</v>
      </c>
      <c r="S9" s="25">
        <f>F9*K4</f>
        <v>5959.5800000000008</v>
      </c>
      <c r="T9" s="22">
        <f t="shared" si="8"/>
        <v>17878.740000000002</v>
      </c>
      <c r="U9" s="28">
        <f t="shared" si="5"/>
        <v>69675.554000000004</v>
      </c>
    </row>
    <row r="10" spans="1:22" s="13" customFormat="1" ht="15.75" thickBot="1">
      <c r="A10" s="32" t="s">
        <v>102</v>
      </c>
      <c r="B10" s="33" t="s">
        <v>19</v>
      </c>
      <c r="C10" s="71">
        <v>0.56999999999999995</v>
      </c>
      <c r="D10" s="34">
        <f>C10*K4</f>
        <v>1544.0729999999999</v>
      </c>
      <c r="E10" s="34">
        <f>C10*$K$4</f>
        <v>1544.0729999999999</v>
      </c>
      <c r="F10" s="71">
        <v>0.88</v>
      </c>
      <c r="G10" s="34">
        <f>F10*K4</f>
        <v>2383.8319999999999</v>
      </c>
      <c r="H10" s="66">
        <f t="shared" si="6"/>
        <v>5472.8580000000002</v>
      </c>
      <c r="I10" s="34">
        <f>G10</f>
        <v>2383.8319999999999</v>
      </c>
      <c r="J10" s="34">
        <f>I10</f>
        <v>2383.8319999999999</v>
      </c>
      <c r="K10" s="58">
        <f>J10</f>
        <v>2383.8319999999999</v>
      </c>
      <c r="L10" s="84">
        <f>I10+J10+K10</f>
        <v>7151.4959999999992</v>
      </c>
      <c r="M10" s="58">
        <f>K10</f>
        <v>2383.8319999999999</v>
      </c>
      <c r="N10" s="58">
        <f>M10</f>
        <v>2383.8319999999999</v>
      </c>
      <c r="O10" s="58">
        <f>N10</f>
        <v>2383.8319999999999</v>
      </c>
      <c r="P10" s="84">
        <f t="shared" si="7"/>
        <v>7151.4959999999992</v>
      </c>
      <c r="Q10" s="58">
        <f>O10</f>
        <v>2383.8319999999999</v>
      </c>
      <c r="R10" s="58">
        <f>Q10</f>
        <v>2383.8319999999999</v>
      </c>
      <c r="S10" s="58">
        <f>R10</f>
        <v>2383.8319999999999</v>
      </c>
      <c r="T10" s="84">
        <f t="shared" si="8"/>
        <v>7151.4959999999992</v>
      </c>
      <c r="U10" s="28">
        <f>T10+P10+L10+H10</f>
        <v>26927.345999999998</v>
      </c>
    </row>
    <row r="11" spans="1:22" s="13" customFormat="1" ht="15.75" thickBot="1">
      <c r="A11" s="93" t="s">
        <v>32</v>
      </c>
      <c r="B11" s="59" t="s">
        <v>20</v>
      </c>
      <c r="C11" s="72"/>
      <c r="D11" s="38">
        <v>44027.72</v>
      </c>
      <c r="E11" s="38">
        <v>34316.33</v>
      </c>
      <c r="F11" s="72"/>
      <c r="G11" s="38">
        <v>36947.129999999997</v>
      </c>
      <c r="H11" s="119">
        <f>D11+E11+G11</f>
        <v>115291.18</v>
      </c>
      <c r="I11" s="40">
        <v>40311.72</v>
      </c>
      <c r="J11" s="38">
        <v>54361</v>
      </c>
      <c r="K11" s="40">
        <v>49369.39</v>
      </c>
      <c r="L11" s="68">
        <f>I11+J11+K11+K12</f>
        <v>148842.10999999999</v>
      </c>
      <c r="M11" s="40">
        <v>40662.33</v>
      </c>
      <c r="N11" s="40">
        <v>45036.74</v>
      </c>
      <c r="O11" s="40">
        <v>45511.03</v>
      </c>
      <c r="P11" s="68">
        <f>M11+N11+O11</f>
        <v>131210.1</v>
      </c>
      <c r="Q11" s="40">
        <v>37000.19</v>
      </c>
      <c r="R11" s="40">
        <v>44024.92</v>
      </c>
      <c r="S11" s="40">
        <v>37099.89</v>
      </c>
      <c r="T11" s="68">
        <f>SUM(Q11:S11)+S12</f>
        <v>124725</v>
      </c>
      <c r="U11" s="125">
        <f t="shared" si="4"/>
        <v>520068.39</v>
      </c>
    </row>
    <row r="12" spans="1:22" s="13" customFormat="1">
      <c r="A12" s="44"/>
      <c r="B12" s="45" t="s">
        <v>72</v>
      </c>
      <c r="C12" s="80"/>
      <c r="D12" s="46"/>
      <c r="E12" s="46"/>
      <c r="F12" s="80"/>
      <c r="G12" s="46"/>
      <c r="H12" s="98"/>
      <c r="I12" s="76"/>
      <c r="J12" s="46"/>
      <c r="K12" s="231">
        <v>4800</v>
      </c>
      <c r="L12" s="85"/>
      <c r="M12" s="76"/>
      <c r="N12" s="76"/>
      <c r="O12" s="76"/>
      <c r="P12" s="85"/>
      <c r="Q12" s="76"/>
      <c r="R12" s="76"/>
      <c r="S12" s="231">
        <f>4800+1800</f>
        <v>6600</v>
      </c>
      <c r="T12" s="85"/>
      <c r="U12" s="76"/>
    </row>
    <row r="13" spans="1:22" s="13" customFormat="1">
      <c r="A13" s="23"/>
      <c r="B13" s="15" t="s">
        <v>21</v>
      </c>
      <c r="C13" s="70"/>
      <c r="D13" s="25">
        <f>D11-D6</f>
        <v>-1535.9779999999955</v>
      </c>
      <c r="E13" s="25">
        <f>E11-E6</f>
        <v>-11247.940999999999</v>
      </c>
      <c r="F13" s="70"/>
      <c r="G13" s="25">
        <f t="shared" ref="G13:T13" si="9">G11-G6</f>
        <v>-8616.5680000000066</v>
      </c>
      <c r="H13" s="22">
        <f t="shared" si="9"/>
        <v>-21417.30700000003</v>
      </c>
      <c r="I13" s="28">
        <f t="shared" si="9"/>
        <v>-5251.9780000000028</v>
      </c>
      <c r="J13" s="25">
        <f t="shared" si="9"/>
        <v>8797.301999999996</v>
      </c>
      <c r="K13" s="28">
        <f t="shared" si="9"/>
        <v>3805.6919999999955</v>
      </c>
      <c r="L13" s="22">
        <f t="shared" si="9"/>
        <v>12151.015999999974</v>
      </c>
      <c r="M13" s="28">
        <f t="shared" si="9"/>
        <v>-4901.3680000000022</v>
      </c>
      <c r="N13" s="28">
        <f t="shared" si="9"/>
        <v>-526.958000000006</v>
      </c>
      <c r="O13" s="28">
        <f t="shared" si="9"/>
        <v>-52.668000000005122</v>
      </c>
      <c r="P13" s="22">
        <f t="shared" si="9"/>
        <v>-5480.9940000000061</v>
      </c>
      <c r="Q13" s="28">
        <f>Q11-Q6</f>
        <v>-8563.5080000000016</v>
      </c>
      <c r="R13" s="28">
        <f t="shared" si="9"/>
        <v>-1538.7780000000057</v>
      </c>
      <c r="S13" s="28">
        <f t="shared" si="9"/>
        <v>-8463.8080000000045</v>
      </c>
      <c r="T13" s="22">
        <f t="shared" si="9"/>
        <v>-11966.094000000012</v>
      </c>
      <c r="U13" s="28">
        <f t="shared" ref="U13:U24" si="10">H13+L13+P13+T13</f>
        <v>-26713.379000000074</v>
      </c>
    </row>
    <row r="14" spans="1:22" s="13" customFormat="1" ht="42.75" customHeight="1">
      <c r="A14" s="31" t="s">
        <v>22</v>
      </c>
      <c r="B14" s="19" t="s">
        <v>23</v>
      </c>
      <c r="C14" s="27"/>
      <c r="D14" s="22">
        <f>SUM(D15:D23)</f>
        <v>29681.476999999999</v>
      </c>
      <c r="E14" s="22">
        <f>E15+E16+E17+E18+E19+E20+E21+E22+E23</f>
        <v>24587.05</v>
      </c>
      <c r="F14" s="27"/>
      <c r="G14" s="22">
        <f>G15+G16+G17+G18+G19+G20+G21+G22+G23</f>
        <v>44404.973000000005</v>
      </c>
      <c r="H14" s="20">
        <f>SUM(D14:G14)</f>
        <v>98673.5</v>
      </c>
      <c r="I14" s="22">
        <f>SUM(I15:I23)</f>
        <v>32250.972999999998</v>
      </c>
      <c r="J14" s="22">
        <f>J15+J16+J17+J18+J19+J20+J21+J22+J23</f>
        <v>31341.972999999998</v>
      </c>
      <c r="K14" s="22">
        <f>K15+K16+K17+K18+K19+K20+K21+K22+K23</f>
        <v>31341.972999999998</v>
      </c>
      <c r="L14" s="22">
        <f t="shared" ref="L14:L24" si="11">I14+J14+K14</f>
        <v>94934.918999999994</v>
      </c>
      <c r="M14" s="22">
        <f>SUM(M15:M23)</f>
        <v>35541.972999999998</v>
      </c>
      <c r="N14" s="22">
        <f t="shared" ref="N14:O14" si="12">SUM(N15:N23)</f>
        <v>34507.972999999998</v>
      </c>
      <c r="O14" s="22">
        <f t="shared" si="12"/>
        <v>31341.972999999998</v>
      </c>
      <c r="P14" s="20">
        <f>SUM(M14:O14)</f>
        <v>101391.91899999999</v>
      </c>
      <c r="Q14" s="22">
        <f>SUM(Q15:Q23)</f>
        <v>34822.972999999998</v>
      </c>
      <c r="R14" s="22">
        <f t="shared" ref="R14:T14" si="13">SUM(R15:R23)</f>
        <v>32518.972999999998</v>
      </c>
      <c r="S14" s="22">
        <f t="shared" si="13"/>
        <v>32830.862999999998</v>
      </c>
      <c r="T14" s="22">
        <f t="shared" si="13"/>
        <v>100172.80900000001</v>
      </c>
      <c r="U14" s="22">
        <f t="shared" si="10"/>
        <v>395173.147</v>
      </c>
    </row>
    <row r="15" spans="1:22" s="13" customFormat="1">
      <c r="A15" s="23" t="s">
        <v>24</v>
      </c>
      <c r="B15" s="15" t="s">
        <v>17</v>
      </c>
      <c r="C15" s="70">
        <v>2.57</v>
      </c>
      <c r="D15" s="25">
        <f>C15*K4</f>
        <v>6961.8729999999996</v>
      </c>
      <c r="E15" s="25">
        <v>6962</v>
      </c>
      <c r="F15" s="70">
        <v>2.8</v>
      </c>
      <c r="G15" s="25">
        <f>F15*K4</f>
        <v>7584.92</v>
      </c>
      <c r="H15" s="20">
        <f>SUM(D15:G15)</f>
        <v>21511.593000000001</v>
      </c>
      <c r="I15" s="25">
        <f>F15*K4</f>
        <v>7584.92</v>
      </c>
      <c r="J15" s="25">
        <f>F15*K4</f>
        <v>7584.92</v>
      </c>
      <c r="K15" s="25">
        <f>F15*K4</f>
        <v>7584.92</v>
      </c>
      <c r="L15" s="22">
        <f t="shared" si="11"/>
        <v>22754.760000000002</v>
      </c>
      <c r="M15" s="25">
        <f>F15*K4</f>
        <v>7584.92</v>
      </c>
      <c r="N15" s="25">
        <f>F15*K4</f>
        <v>7584.92</v>
      </c>
      <c r="O15" s="25">
        <f>F15*K4</f>
        <v>7584.92</v>
      </c>
      <c r="P15" s="20">
        <f>SUM(M15:O15)</f>
        <v>22754.760000000002</v>
      </c>
      <c r="Q15" s="25">
        <f>F15*K4</f>
        <v>7584.92</v>
      </c>
      <c r="R15" s="25">
        <f>F15*K4</f>
        <v>7584.92</v>
      </c>
      <c r="S15" s="25">
        <f>F15*K4</f>
        <v>7584.92</v>
      </c>
      <c r="T15" s="20">
        <f>SUM(Q15:S15)</f>
        <v>22754.760000000002</v>
      </c>
      <c r="U15" s="28">
        <f t="shared" si="10"/>
        <v>89775.873000000021</v>
      </c>
    </row>
    <row r="16" spans="1:22" s="13" customFormat="1">
      <c r="A16" s="23" t="s">
        <v>25</v>
      </c>
      <c r="B16" s="15" t="s">
        <v>26</v>
      </c>
      <c r="C16" s="70">
        <v>2.99</v>
      </c>
      <c r="D16" s="25">
        <f>C16*K4</f>
        <v>8099.6110000000008</v>
      </c>
      <c r="E16" s="25">
        <f>C16*K4</f>
        <v>8099.6110000000008</v>
      </c>
      <c r="F16" s="70">
        <v>2.99</v>
      </c>
      <c r="G16" s="25">
        <f>F16*K4</f>
        <v>8099.6110000000008</v>
      </c>
      <c r="H16" s="20">
        <f t="shared" ref="H16:H29" si="14">SUM(D16:G16)</f>
        <v>24301.823000000004</v>
      </c>
      <c r="I16" s="25">
        <f>C16*$K$4</f>
        <v>8099.6110000000008</v>
      </c>
      <c r="J16" s="25">
        <f>I16</f>
        <v>8099.6110000000008</v>
      </c>
      <c r="K16" s="28">
        <f>J16</f>
        <v>8099.6110000000008</v>
      </c>
      <c r="L16" s="22">
        <f t="shared" si="11"/>
        <v>24298.833000000002</v>
      </c>
      <c r="M16" s="28">
        <f>K16</f>
        <v>8099.6110000000008</v>
      </c>
      <c r="N16" s="28">
        <f>M16</f>
        <v>8099.6110000000008</v>
      </c>
      <c r="O16" s="28">
        <f>N16</f>
        <v>8099.6110000000008</v>
      </c>
      <c r="P16" s="20">
        <f>SUM(M16:O16)</f>
        <v>24298.833000000002</v>
      </c>
      <c r="Q16" s="28">
        <f>O16</f>
        <v>8099.6110000000008</v>
      </c>
      <c r="R16" s="28">
        <f>Q16</f>
        <v>8099.6110000000008</v>
      </c>
      <c r="S16" s="28">
        <f>R16</f>
        <v>8099.6110000000008</v>
      </c>
      <c r="T16" s="20">
        <f>SUM(Q16:S16)</f>
        <v>24298.833000000002</v>
      </c>
      <c r="U16" s="28">
        <f t="shared" si="10"/>
        <v>97198.322</v>
      </c>
    </row>
    <row r="17" spans="1:22" s="13" customFormat="1" ht="15.75" thickBot="1">
      <c r="A17" s="32" t="s">
        <v>27</v>
      </c>
      <c r="B17" s="33" t="s">
        <v>30</v>
      </c>
      <c r="C17" s="71">
        <v>1.86</v>
      </c>
      <c r="D17" s="34">
        <f>C17*K4</f>
        <v>5038.5540000000001</v>
      </c>
      <c r="E17" s="34">
        <v>5039</v>
      </c>
      <c r="F17" s="71">
        <v>2.2000000000000002</v>
      </c>
      <c r="G17" s="34">
        <f>F17*K4</f>
        <v>5959.5800000000008</v>
      </c>
      <c r="H17" s="66">
        <f t="shared" si="14"/>
        <v>16039.334000000003</v>
      </c>
      <c r="I17" s="34">
        <f>F17*K4</f>
        <v>5959.5800000000008</v>
      </c>
      <c r="J17" s="34">
        <f>F17*K4</f>
        <v>5959.5800000000008</v>
      </c>
      <c r="K17" s="34">
        <f>F17*K4</f>
        <v>5959.5800000000008</v>
      </c>
      <c r="L17" s="84">
        <f t="shared" si="11"/>
        <v>17878.740000000002</v>
      </c>
      <c r="M17" s="34">
        <f>F17*K4</f>
        <v>5959.5800000000008</v>
      </c>
      <c r="N17" s="34">
        <f>F17*K4</f>
        <v>5959.5800000000008</v>
      </c>
      <c r="O17" s="34">
        <f>F17*K4</f>
        <v>5959.5800000000008</v>
      </c>
      <c r="P17" s="66">
        <f t="shared" ref="P17:P29" si="15">SUM(M17:O17)</f>
        <v>17878.740000000002</v>
      </c>
      <c r="Q17" s="34">
        <f>F17*K4</f>
        <v>5959.5800000000008</v>
      </c>
      <c r="R17" s="34">
        <f>F17*K4</f>
        <v>5959.5800000000008</v>
      </c>
      <c r="S17" s="34">
        <f>F17*K4</f>
        <v>5959.5800000000008</v>
      </c>
      <c r="T17" s="66">
        <f t="shared" ref="T17:T29" si="16">SUM(Q17:S17)</f>
        <v>17878.740000000002</v>
      </c>
      <c r="U17" s="58">
        <f t="shared" si="10"/>
        <v>69675.554000000018</v>
      </c>
    </row>
    <row r="18" spans="1:22" s="172" customFormat="1" ht="18" customHeight="1" thickBot="1">
      <c r="A18" s="130" t="s">
        <v>28</v>
      </c>
      <c r="B18" s="131" t="s">
        <v>40</v>
      </c>
      <c r="C18" s="72"/>
      <c r="D18" s="38">
        <v>5491</v>
      </c>
      <c r="E18" s="38">
        <v>396</v>
      </c>
      <c r="F18" s="72"/>
      <c r="G18" s="38">
        <v>13063</v>
      </c>
      <c r="H18" s="119">
        <f t="shared" si="14"/>
        <v>18950</v>
      </c>
      <c r="I18" s="40">
        <v>909</v>
      </c>
      <c r="J18" s="212">
        <v>0</v>
      </c>
      <c r="K18" s="213">
        <v>0</v>
      </c>
      <c r="L18" s="68">
        <f t="shared" si="11"/>
        <v>909</v>
      </c>
      <c r="M18" s="40">
        <v>4200</v>
      </c>
      <c r="N18" s="40">
        <v>3166</v>
      </c>
      <c r="O18" s="40">
        <v>0</v>
      </c>
      <c r="P18" s="119">
        <f t="shared" si="15"/>
        <v>7366</v>
      </c>
      <c r="Q18" s="40">
        <v>3481</v>
      </c>
      <c r="R18" s="40">
        <v>1177</v>
      </c>
      <c r="S18" s="40">
        <v>269</v>
      </c>
      <c r="T18" s="119">
        <f t="shared" si="16"/>
        <v>4927</v>
      </c>
      <c r="U18" s="125">
        <f t="shared" si="10"/>
        <v>32152</v>
      </c>
    </row>
    <row r="19" spans="1:22" s="13" customFormat="1">
      <c r="A19" s="44" t="s">
        <v>33</v>
      </c>
      <c r="B19" s="45" t="s">
        <v>39</v>
      </c>
      <c r="C19" s="74">
        <v>0.82</v>
      </c>
      <c r="D19" s="46">
        <f>C19*K4</f>
        <v>2221.2979999999998</v>
      </c>
      <c r="E19" s="46">
        <f>C19*$K$4</f>
        <v>2221.2979999999998</v>
      </c>
      <c r="F19" s="74">
        <v>1</v>
      </c>
      <c r="G19" s="46">
        <f>F19*K4</f>
        <v>2708.9</v>
      </c>
      <c r="H19" s="98">
        <f t="shared" si="14"/>
        <v>7152.4959999999992</v>
      </c>
      <c r="I19" s="46">
        <f>G19</f>
        <v>2708.9</v>
      </c>
      <c r="J19" s="75">
        <f t="shared" ref="J19:K21" si="17">I19</f>
        <v>2708.9</v>
      </c>
      <c r="K19" s="76">
        <f t="shared" si="17"/>
        <v>2708.9</v>
      </c>
      <c r="L19" s="85">
        <f t="shared" si="11"/>
        <v>8126.7000000000007</v>
      </c>
      <c r="M19" s="76">
        <f>K19</f>
        <v>2708.9</v>
      </c>
      <c r="N19" s="76">
        <f t="shared" ref="N19:O21" si="18">M19</f>
        <v>2708.9</v>
      </c>
      <c r="O19" s="76">
        <f t="shared" si="18"/>
        <v>2708.9</v>
      </c>
      <c r="P19" s="124">
        <f t="shared" si="15"/>
        <v>8126.7000000000007</v>
      </c>
      <c r="Q19" s="76">
        <f>O19</f>
        <v>2708.9</v>
      </c>
      <c r="R19" s="76">
        <f t="shared" ref="R19:S21" si="19">Q19</f>
        <v>2708.9</v>
      </c>
      <c r="S19" s="76">
        <f t="shared" si="19"/>
        <v>2708.9</v>
      </c>
      <c r="T19" s="124">
        <f t="shared" si="16"/>
        <v>8126.7000000000007</v>
      </c>
      <c r="U19" s="76">
        <f t="shared" si="10"/>
        <v>31532.596000000001</v>
      </c>
    </row>
    <row r="20" spans="1:22" s="13" customFormat="1">
      <c r="A20" s="23" t="s">
        <v>34</v>
      </c>
      <c r="B20" s="15" t="s">
        <v>41</v>
      </c>
      <c r="C20" s="71">
        <v>0.12</v>
      </c>
      <c r="D20" s="25">
        <f>C20*K4</f>
        <v>325.06799999999998</v>
      </c>
      <c r="E20" s="25">
        <f>C20*$K$4</f>
        <v>325.06799999999998</v>
      </c>
      <c r="F20" s="71">
        <v>0.2</v>
      </c>
      <c r="G20" s="25">
        <f>F20*K4</f>
        <v>541.78000000000009</v>
      </c>
      <c r="H20" s="20">
        <f t="shared" si="14"/>
        <v>1192.116</v>
      </c>
      <c r="I20" s="25">
        <f>G20</f>
        <v>541.78000000000009</v>
      </c>
      <c r="J20" s="34">
        <f t="shared" si="17"/>
        <v>541.78000000000009</v>
      </c>
      <c r="K20" s="28">
        <f t="shared" si="17"/>
        <v>541.78000000000009</v>
      </c>
      <c r="L20" s="22">
        <f t="shared" si="11"/>
        <v>1625.3400000000001</v>
      </c>
      <c r="M20" s="28">
        <f>K20</f>
        <v>541.78000000000009</v>
      </c>
      <c r="N20" s="28">
        <f t="shared" si="18"/>
        <v>541.78000000000009</v>
      </c>
      <c r="O20" s="28">
        <f t="shared" si="18"/>
        <v>541.78000000000009</v>
      </c>
      <c r="P20" s="66">
        <f t="shared" si="15"/>
        <v>1625.3400000000001</v>
      </c>
      <c r="Q20" s="28">
        <f>O20</f>
        <v>541.78000000000009</v>
      </c>
      <c r="R20" s="28">
        <f t="shared" si="19"/>
        <v>541.78000000000009</v>
      </c>
      <c r="S20" s="28">
        <f t="shared" si="19"/>
        <v>541.78000000000009</v>
      </c>
      <c r="T20" s="66">
        <f t="shared" si="16"/>
        <v>1625.3400000000001</v>
      </c>
      <c r="U20" s="28">
        <f t="shared" si="10"/>
        <v>6068.1360000000004</v>
      </c>
    </row>
    <row r="21" spans="1:22" s="13" customFormat="1">
      <c r="A21" s="23" t="s">
        <v>35</v>
      </c>
      <c r="B21" s="15" t="s">
        <v>29</v>
      </c>
      <c r="C21" s="70">
        <v>0.56999999999999995</v>
      </c>
      <c r="D21" s="25">
        <f>C21*K4</f>
        <v>1544.0729999999999</v>
      </c>
      <c r="E21" s="25">
        <f>C21*$K$4</f>
        <v>1544.0729999999999</v>
      </c>
      <c r="F21" s="70">
        <v>0.88</v>
      </c>
      <c r="G21" s="25">
        <f>F21*K4</f>
        <v>2383.8319999999999</v>
      </c>
      <c r="H21" s="20">
        <f t="shared" si="14"/>
        <v>5472.8580000000002</v>
      </c>
      <c r="I21" s="25">
        <f>G21</f>
        <v>2383.8319999999999</v>
      </c>
      <c r="J21" s="25">
        <f t="shared" si="17"/>
        <v>2383.8319999999999</v>
      </c>
      <c r="K21" s="28">
        <f t="shared" si="17"/>
        <v>2383.8319999999999</v>
      </c>
      <c r="L21" s="22">
        <f t="shared" si="11"/>
        <v>7151.4959999999992</v>
      </c>
      <c r="M21" s="28">
        <f>K21</f>
        <v>2383.8319999999999</v>
      </c>
      <c r="N21" s="28">
        <f t="shared" si="18"/>
        <v>2383.8319999999999</v>
      </c>
      <c r="O21" s="28">
        <f t="shared" si="18"/>
        <v>2383.8319999999999</v>
      </c>
      <c r="P21" s="66">
        <f t="shared" si="15"/>
        <v>7151.4959999999992</v>
      </c>
      <c r="Q21" s="28">
        <f>O21</f>
        <v>2383.8319999999999</v>
      </c>
      <c r="R21" s="28">
        <f t="shared" si="19"/>
        <v>2383.8319999999999</v>
      </c>
      <c r="S21" s="28">
        <f t="shared" si="19"/>
        <v>2383.8319999999999</v>
      </c>
      <c r="T21" s="66">
        <f t="shared" si="16"/>
        <v>7151.4959999999992</v>
      </c>
      <c r="U21" s="28">
        <f t="shared" si="10"/>
        <v>26927.345999999998</v>
      </c>
    </row>
    <row r="22" spans="1:22" s="13" customFormat="1">
      <c r="A22" s="23" t="s">
        <v>124</v>
      </c>
      <c r="B22" s="15" t="s">
        <v>123</v>
      </c>
      <c r="C22" s="70"/>
      <c r="D22" s="25"/>
      <c r="E22" s="25"/>
      <c r="F22" s="70">
        <v>1.5</v>
      </c>
      <c r="G22" s="25">
        <f>F22*K4</f>
        <v>4063.3500000000004</v>
      </c>
      <c r="H22" s="20">
        <f>G22+E22+D22</f>
        <v>4063.3500000000004</v>
      </c>
      <c r="I22" s="25">
        <f>G22</f>
        <v>4063.3500000000004</v>
      </c>
      <c r="J22" s="25">
        <f>I22</f>
        <v>4063.3500000000004</v>
      </c>
      <c r="K22" s="28">
        <f>J22</f>
        <v>4063.3500000000004</v>
      </c>
      <c r="L22" s="22">
        <f>K22+J22+I22</f>
        <v>12190.050000000001</v>
      </c>
      <c r="M22" s="28">
        <f>K22</f>
        <v>4063.3500000000004</v>
      </c>
      <c r="N22" s="28">
        <f>M22</f>
        <v>4063.3500000000004</v>
      </c>
      <c r="O22" s="28">
        <f>N22</f>
        <v>4063.3500000000004</v>
      </c>
      <c r="P22" s="66">
        <f>O22+N22+M22</f>
        <v>12190.050000000001</v>
      </c>
      <c r="Q22" s="28">
        <f>O22</f>
        <v>4063.3500000000004</v>
      </c>
      <c r="R22" s="28">
        <f>Q22</f>
        <v>4063.3500000000004</v>
      </c>
      <c r="S22" s="28">
        <f>R22</f>
        <v>4063.3500000000004</v>
      </c>
      <c r="T22" s="66">
        <f>S22+R22+Q22</f>
        <v>12190.050000000001</v>
      </c>
      <c r="U22" s="28">
        <f t="shared" si="10"/>
        <v>40633.500000000007</v>
      </c>
    </row>
    <row r="23" spans="1:22" s="13" customFormat="1">
      <c r="A23" s="23" t="s">
        <v>125</v>
      </c>
      <c r="B23" s="15" t="s">
        <v>84</v>
      </c>
      <c r="C23" s="70"/>
      <c r="D23" s="25">
        <f>SUM(D26:D29)</f>
        <v>0</v>
      </c>
      <c r="E23" s="25">
        <f>SUM(E26:E29)</f>
        <v>0</v>
      </c>
      <c r="F23" s="70"/>
      <c r="G23" s="25">
        <f>SUM(G26:G29)</f>
        <v>0</v>
      </c>
      <c r="H23" s="20">
        <f t="shared" si="14"/>
        <v>0</v>
      </c>
      <c r="I23" s="25">
        <f>SUM(I26:I29)</f>
        <v>0</v>
      </c>
      <c r="J23" s="25">
        <f>J29+J28+J27+J26+J25+J24</f>
        <v>0</v>
      </c>
      <c r="K23" s="28">
        <f>SUM(K26:K29)</f>
        <v>0</v>
      </c>
      <c r="L23" s="22">
        <f t="shared" si="11"/>
        <v>0</v>
      </c>
      <c r="M23" s="28">
        <f>SUM(M26:M29)</f>
        <v>0</v>
      </c>
      <c r="N23" s="28">
        <f>SUM(N26:N29)</f>
        <v>0</v>
      </c>
      <c r="O23" s="28">
        <f>SUM(O26:O29)</f>
        <v>0</v>
      </c>
      <c r="P23" s="66">
        <f t="shared" si="15"/>
        <v>0</v>
      </c>
      <c r="Q23" s="28">
        <f>SUM(Q26:Q29)</f>
        <v>0</v>
      </c>
      <c r="R23" s="28">
        <f>SUM(R26:R29)</f>
        <v>0</v>
      </c>
      <c r="S23" s="30">
        <f>SUM(S26:S29)</f>
        <v>1219.8899999999999</v>
      </c>
      <c r="T23" s="66">
        <f t="shared" si="16"/>
        <v>1219.8899999999999</v>
      </c>
      <c r="U23" s="28">
        <f t="shared" si="10"/>
        <v>1219.8899999999999</v>
      </c>
    </row>
    <row r="24" spans="1:22" s="13" customFormat="1">
      <c r="A24" s="23"/>
      <c r="B24" s="15" t="s">
        <v>44</v>
      </c>
      <c r="C24" s="70"/>
      <c r="D24" s="25"/>
      <c r="E24" s="25"/>
      <c r="F24" s="70"/>
      <c r="G24" s="25"/>
      <c r="H24" s="20">
        <f t="shared" si="14"/>
        <v>0</v>
      </c>
      <c r="I24" s="28"/>
      <c r="J24" s="25"/>
      <c r="K24" s="28"/>
      <c r="L24" s="22">
        <f t="shared" si="11"/>
        <v>0</v>
      </c>
      <c r="M24" s="28"/>
      <c r="N24" s="28"/>
      <c r="O24" s="28"/>
      <c r="P24" s="66">
        <f t="shared" si="15"/>
        <v>0</v>
      </c>
      <c r="Q24" s="28"/>
      <c r="R24" s="28"/>
      <c r="S24" s="28"/>
      <c r="T24" s="66">
        <f t="shared" si="16"/>
        <v>0</v>
      </c>
      <c r="U24" s="28">
        <f t="shared" si="10"/>
        <v>0</v>
      </c>
    </row>
    <row r="25" spans="1:22" s="13" customFormat="1">
      <c r="A25" s="23"/>
      <c r="B25" s="15" t="s">
        <v>48</v>
      </c>
      <c r="C25" s="70"/>
      <c r="D25" s="25"/>
      <c r="E25" s="25"/>
      <c r="F25" s="70"/>
      <c r="G25" s="25"/>
      <c r="H25" s="20"/>
      <c r="I25" s="28"/>
      <c r="J25" s="25"/>
      <c r="K25" s="28"/>
      <c r="L25" s="22"/>
      <c r="M25" s="28"/>
      <c r="N25" s="28"/>
      <c r="O25" s="28"/>
      <c r="P25" s="66"/>
      <c r="Q25" s="28"/>
      <c r="R25" s="28"/>
      <c r="S25" s="28"/>
      <c r="T25" s="66"/>
      <c r="U25" s="28"/>
    </row>
    <row r="26" spans="1:22" s="13" customFormat="1">
      <c r="A26" s="23"/>
      <c r="B26" s="15" t="s">
        <v>47</v>
      </c>
      <c r="C26" s="70"/>
      <c r="D26" s="25"/>
      <c r="E26" s="25"/>
      <c r="F26" s="70"/>
      <c r="G26" s="25"/>
      <c r="H26" s="20">
        <f t="shared" si="14"/>
        <v>0</v>
      </c>
      <c r="I26" s="28"/>
      <c r="J26" s="25"/>
      <c r="K26" s="28"/>
      <c r="L26" s="22">
        <f>I26+J26+K26</f>
        <v>0</v>
      </c>
      <c r="M26" s="28"/>
      <c r="N26" s="28"/>
      <c r="O26" s="28"/>
      <c r="P26" s="66">
        <f t="shared" si="15"/>
        <v>0</v>
      </c>
      <c r="Q26" s="28"/>
      <c r="R26" s="28"/>
      <c r="S26" s="28"/>
      <c r="T26" s="66">
        <f t="shared" si="16"/>
        <v>0</v>
      </c>
      <c r="U26" s="28">
        <f>H26+L26+P26+T26</f>
        <v>0</v>
      </c>
    </row>
    <row r="27" spans="1:22" s="13" customFormat="1">
      <c r="A27" s="23"/>
      <c r="B27" s="15" t="s">
        <v>49</v>
      </c>
      <c r="C27" s="70"/>
      <c r="D27" s="25"/>
      <c r="E27" s="25"/>
      <c r="F27" s="70"/>
      <c r="G27" s="25"/>
      <c r="H27" s="20">
        <f t="shared" si="14"/>
        <v>0</v>
      </c>
      <c r="I27" s="28"/>
      <c r="J27" s="25"/>
      <c r="K27" s="28"/>
      <c r="L27" s="22">
        <f>I27+J27+K27</f>
        <v>0</v>
      </c>
      <c r="M27" s="28"/>
      <c r="N27" s="28"/>
      <c r="O27" s="28"/>
      <c r="P27" s="66">
        <f t="shared" si="15"/>
        <v>0</v>
      </c>
      <c r="Q27" s="28"/>
      <c r="R27" s="28"/>
      <c r="S27" s="28"/>
      <c r="T27" s="66">
        <f t="shared" si="16"/>
        <v>0</v>
      </c>
      <c r="U27" s="28">
        <f>H27+L27+P27+T27</f>
        <v>0</v>
      </c>
    </row>
    <row r="28" spans="1:22" s="13" customFormat="1">
      <c r="A28" s="23"/>
      <c r="B28" s="15" t="s">
        <v>53</v>
      </c>
      <c r="C28" s="70"/>
      <c r="D28" s="25"/>
      <c r="E28" s="25"/>
      <c r="F28" s="70"/>
      <c r="G28" s="25"/>
      <c r="H28" s="20">
        <f t="shared" si="14"/>
        <v>0</v>
      </c>
      <c r="I28" s="28"/>
      <c r="J28" s="25"/>
      <c r="K28" s="30"/>
      <c r="L28" s="22">
        <f>I28+J28+K28</f>
        <v>0</v>
      </c>
      <c r="M28" s="28"/>
      <c r="N28" s="28"/>
      <c r="O28" s="28"/>
      <c r="P28" s="66">
        <f t="shared" si="15"/>
        <v>0</v>
      </c>
      <c r="Q28" s="28"/>
      <c r="R28" s="28"/>
      <c r="S28" s="28"/>
      <c r="T28" s="66">
        <f t="shared" si="16"/>
        <v>0</v>
      </c>
      <c r="U28" s="28">
        <f>H28+L28+P28+T28</f>
        <v>0</v>
      </c>
    </row>
    <row r="29" spans="1:22" s="13" customFormat="1">
      <c r="A29" s="23"/>
      <c r="B29" s="15" t="s">
        <v>83</v>
      </c>
      <c r="C29" s="70"/>
      <c r="D29" s="25"/>
      <c r="E29" s="25"/>
      <c r="F29" s="70"/>
      <c r="G29" s="25"/>
      <c r="H29" s="20">
        <f t="shared" si="14"/>
        <v>0</v>
      </c>
      <c r="I29" s="28"/>
      <c r="J29" s="25"/>
      <c r="K29" s="30"/>
      <c r="L29" s="22">
        <f>I29+J29+K29</f>
        <v>0</v>
      </c>
      <c r="M29" s="28"/>
      <c r="N29" s="28"/>
      <c r="O29" s="28"/>
      <c r="P29" s="66">
        <f t="shared" si="15"/>
        <v>0</v>
      </c>
      <c r="Q29" s="28"/>
      <c r="R29" s="28"/>
      <c r="S29" s="30">
        <f>414.79+290.19+514.91</f>
        <v>1219.8899999999999</v>
      </c>
      <c r="T29" s="66">
        <f t="shared" si="16"/>
        <v>1219.8899999999999</v>
      </c>
      <c r="U29" s="28">
        <f>H29+L29+P29+T29</f>
        <v>1219.8899999999999</v>
      </c>
    </row>
    <row r="30" spans="1:22" s="13" customFormat="1">
      <c r="A30" s="23"/>
      <c r="B30" s="15" t="s">
        <v>43</v>
      </c>
      <c r="C30" s="70"/>
      <c r="D30" s="29"/>
      <c r="E30" s="25"/>
      <c r="F30" s="70"/>
      <c r="G30" s="25"/>
      <c r="H30" s="20">
        <f>H11-H14</f>
        <v>16617.679999999993</v>
      </c>
      <c r="I30" s="28"/>
      <c r="J30" s="25"/>
      <c r="K30" s="28"/>
      <c r="L30" s="20">
        <f>L11-L14</f>
        <v>53907.190999999992</v>
      </c>
      <c r="M30" s="26"/>
      <c r="N30" s="26"/>
      <c r="O30" s="28"/>
      <c r="P30" s="20">
        <f>P11-P14</f>
        <v>29818.181000000011</v>
      </c>
      <c r="Q30" s="28"/>
      <c r="R30" s="28"/>
      <c r="S30" s="28"/>
      <c r="T30" s="20">
        <f>T11-T14</f>
        <v>24552.190999999992</v>
      </c>
      <c r="U30" s="28">
        <f>H30+L30+P30+T30</f>
        <v>124895.24299999999</v>
      </c>
      <c r="V30" s="126"/>
    </row>
    <row r="31" spans="1:22">
      <c r="A31" s="5"/>
      <c r="B31" s="8"/>
      <c r="C31" s="5"/>
      <c r="D31" s="6"/>
      <c r="E31" s="5"/>
      <c r="F31" s="5"/>
      <c r="G31" s="5"/>
      <c r="H31" s="5"/>
      <c r="I31" s="5"/>
      <c r="J31" s="5"/>
      <c r="K31" s="5"/>
      <c r="L31" s="5"/>
    </row>
    <row r="32" spans="1:22">
      <c r="A32" s="5"/>
      <c r="B32" s="5"/>
      <c r="C32" s="5"/>
      <c r="D32" s="5"/>
      <c r="E32" s="5"/>
      <c r="F32" s="5"/>
      <c r="G32" s="5"/>
      <c r="H32" s="5"/>
      <c r="I32" s="5"/>
      <c r="J32" s="5"/>
      <c r="K32" s="6"/>
      <c r="L32" s="5"/>
    </row>
  </sheetData>
  <mergeCells count="4">
    <mergeCell ref="A1:L1"/>
    <mergeCell ref="A2:L2"/>
    <mergeCell ref="A3:L3"/>
    <mergeCell ref="R3:V3"/>
  </mergeCells>
  <pageMargins left="0.25" right="0.25" top="0.75" bottom="0.75" header="0.3" footer="0.3"/>
  <pageSetup paperSize="9" scale="59" orientation="landscape" r:id="rId1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V33"/>
  <sheetViews>
    <sheetView zoomScaleNormal="100" workbookViewId="0">
      <selection activeCell="A35" sqref="A35:XFD35"/>
    </sheetView>
  </sheetViews>
  <sheetFormatPr defaultRowHeight="15"/>
  <cols>
    <col min="1" max="1" width="4.7109375" customWidth="1"/>
    <col min="2" max="2" width="36" customWidth="1"/>
    <col min="3" max="3" width="9.85546875" customWidth="1"/>
    <col min="4" max="5" width="10.140625" customWidth="1"/>
    <col min="6" max="6" width="10.7109375" customWidth="1"/>
    <col min="7" max="8" width="9.28515625" customWidth="1"/>
    <col min="9" max="9" width="8.28515625" customWidth="1"/>
    <col min="10" max="10" width="9" customWidth="1"/>
    <col min="11" max="11" width="8.28515625" customWidth="1"/>
    <col min="12" max="12" width="10.42578125" customWidth="1"/>
    <col min="13" max="14" width="9.140625" customWidth="1"/>
    <col min="15" max="15" width="10" customWidth="1"/>
    <col min="16" max="17" width="9.140625" customWidth="1"/>
    <col min="18" max="18" width="10.85546875" customWidth="1"/>
    <col min="19" max="27" width="9.140625" customWidth="1"/>
  </cols>
  <sheetData>
    <row r="1" spans="1:22" s="13" customForma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R1" s="13" t="s">
        <v>94</v>
      </c>
    </row>
    <row r="2" spans="1:22" s="13" customFormat="1">
      <c r="A2" s="368" t="s">
        <v>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R2" s="13" t="s">
        <v>95</v>
      </c>
    </row>
    <row r="3" spans="1:22" s="13" customFormat="1">
      <c r="A3" s="370" t="s">
        <v>137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R3" s="373" t="s">
        <v>138</v>
      </c>
      <c r="S3" s="373"/>
      <c r="T3" s="373"/>
      <c r="U3" s="373"/>
      <c r="V3" s="373"/>
    </row>
    <row r="4" spans="1:22" s="13" customFormat="1">
      <c r="B4" s="13" t="s">
        <v>81</v>
      </c>
      <c r="K4" s="13">
        <f>6861.7+50.41+0.3</f>
        <v>6912.41</v>
      </c>
    </row>
    <row r="5" spans="1:22" s="13" customFormat="1">
      <c r="A5" s="15"/>
      <c r="B5" s="16" t="s">
        <v>2</v>
      </c>
      <c r="C5" s="54" t="s">
        <v>93</v>
      </c>
      <c r="D5" s="16" t="s">
        <v>4</v>
      </c>
      <c r="E5" s="54" t="s">
        <v>93</v>
      </c>
      <c r="F5" s="16" t="s">
        <v>5</v>
      </c>
      <c r="G5" s="16" t="s">
        <v>6</v>
      </c>
      <c r="H5" s="122" t="s">
        <v>7</v>
      </c>
      <c r="I5" s="17" t="s">
        <v>8</v>
      </c>
      <c r="J5" s="16" t="s">
        <v>9</v>
      </c>
      <c r="K5" s="16" t="s">
        <v>10</v>
      </c>
      <c r="L5" s="18" t="s">
        <v>11</v>
      </c>
      <c r="M5" s="17" t="s">
        <v>54</v>
      </c>
      <c r="N5" s="17" t="s">
        <v>55</v>
      </c>
      <c r="O5" s="17" t="s">
        <v>56</v>
      </c>
      <c r="P5" s="18" t="s">
        <v>57</v>
      </c>
      <c r="Q5" s="17" t="s">
        <v>63</v>
      </c>
      <c r="R5" s="17" t="s">
        <v>64</v>
      </c>
      <c r="S5" s="17" t="s">
        <v>65</v>
      </c>
      <c r="T5" s="18" t="s">
        <v>66</v>
      </c>
      <c r="U5" s="24" t="s">
        <v>71</v>
      </c>
    </row>
    <row r="6" spans="1:22" s="13" customFormat="1" ht="27" customHeight="1">
      <c r="A6" s="31" t="s">
        <v>12</v>
      </c>
      <c r="B6" s="19" t="s">
        <v>13</v>
      </c>
      <c r="C6" s="55"/>
      <c r="D6" s="20">
        <f>SUM(D7:D10)</f>
        <v>100229.91059999999</v>
      </c>
      <c r="E6" s="55"/>
      <c r="F6" s="20">
        <f>F7+F8+F9+F10</f>
        <v>99676.801200000002</v>
      </c>
      <c r="G6" s="20">
        <f>G7+G8+G9+G10</f>
        <v>107280.6032</v>
      </c>
      <c r="H6" s="20">
        <f>SUM(H7:H10)</f>
        <v>307202.83500000002</v>
      </c>
      <c r="I6" s="20">
        <f>I7+I8+I9+I10</f>
        <v>107280.6032</v>
      </c>
      <c r="J6" s="20">
        <f t="shared" ref="J6:R6" si="0">SUM(J7:J10)</f>
        <v>107280.6032</v>
      </c>
      <c r="K6" s="20">
        <f t="shared" si="0"/>
        <v>107280.6032</v>
      </c>
      <c r="L6" s="20">
        <f t="shared" si="0"/>
        <v>321841.80959999998</v>
      </c>
      <c r="M6" s="20">
        <f t="shared" si="0"/>
        <v>107280.6032</v>
      </c>
      <c r="N6" s="20">
        <f t="shared" si="0"/>
        <v>107280.6032</v>
      </c>
      <c r="O6" s="20">
        <f t="shared" si="0"/>
        <v>107280.6032</v>
      </c>
      <c r="P6" s="20">
        <f t="shared" si="0"/>
        <v>321841.80959999998</v>
      </c>
      <c r="Q6" s="20">
        <f t="shared" si="0"/>
        <v>107280.6032</v>
      </c>
      <c r="R6" s="20">
        <f t="shared" si="0"/>
        <v>107280.6032</v>
      </c>
      <c r="S6" s="20">
        <f>SUM(S7:S10)</f>
        <v>107280.6032</v>
      </c>
      <c r="T6" s="20">
        <f>SUM(T7:T10)</f>
        <v>321841.80959999998</v>
      </c>
      <c r="U6" s="22">
        <f t="shared" ref="U6:U12" si="1">H6+L6+P6+T6</f>
        <v>1272728.2638000001</v>
      </c>
    </row>
    <row r="7" spans="1:22" s="13" customFormat="1">
      <c r="A7" s="23" t="s">
        <v>14</v>
      </c>
      <c r="B7" s="15" t="s">
        <v>15</v>
      </c>
      <c r="C7" s="27">
        <v>10.92</v>
      </c>
      <c r="D7" s="25">
        <f>C7*$K$4</f>
        <v>75483.517200000002</v>
      </c>
      <c r="E7" s="27">
        <v>10.17</v>
      </c>
      <c r="F7" s="25">
        <f>E7*K4</f>
        <v>70299.209699999992</v>
      </c>
      <c r="G7" s="25">
        <f>F7</f>
        <v>70299.209699999992</v>
      </c>
      <c r="H7" s="20">
        <f>SUM(D7:G7)</f>
        <v>216092.1066</v>
      </c>
      <c r="I7" s="25">
        <f>G7</f>
        <v>70299.209699999992</v>
      </c>
      <c r="J7" s="25">
        <f>I7</f>
        <v>70299.209699999992</v>
      </c>
      <c r="K7" s="25">
        <f>J7</f>
        <v>70299.209699999992</v>
      </c>
      <c r="L7" s="22">
        <f t="shared" ref="L7:L10" si="2">I7+J7+K7</f>
        <v>210897.62909999996</v>
      </c>
      <c r="M7" s="28">
        <f>K7</f>
        <v>70299.209699999992</v>
      </c>
      <c r="N7" s="28">
        <f>M7</f>
        <v>70299.209699999992</v>
      </c>
      <c r="O7" s="28">
        <f>N7</f>
        <v>70299.209699999992</v>
      </c>
      <c r="P7" s="22">
        <f>SUM(M7:O7)</f>
        <v>210897.62909999996</v>
      </c>
      <c r="Q7" s="28">
        <f>O7</f>
        <v>70299.209699999992</v>
      </c>
      <c r="R7" s="28">
        <f t="shared" ref="R7:S7" si="3">Q7</f>
        <v>70299.209699999992</v>
      </c>
      <c r="S7" s="28">
        <f t="shared" si="3"/>
        <v>70299.209699999992</v>
      </c>
      <c r="T7" s="22">
        <f>SUM(Q7:S7)</f>
        <v>210897.62909999996</v>
      </c>
      <c r="U7" s="28">
        <f t="shared" si="1"/>
        <v>848784.99389999988</v>
      </c>
    </row>
    <row r="8" spans="1:22" s="13" customFormat="1">
      <c r="A8" s="23" t="s">
        <v>16</v>
      </c>
      <c r="B8" s="15" t="s">
        <v>17</v>
      </c>
      <c r="C8" s="27">
        <v>2.17</v>
      </c>
      <c r="D8" s="25">
        <f t="shared" ref="D8:D10" si="4">C8*$K$4</f>
        <v>14999.929699999999</v>
      </c>
      <c r="E8" s="27">
        <v>2.8</v>
      </c>
      <c r="F8" s="25">
        <f>E8*K4</f>
        <v>19354.748</v>
      </c>
      <c r="G8" s="25">
        <f>E8*K4</f>
        <v>19354.748</v>
      </c>
      <c r="H8" s="20">
        <f t="shared" ref="H8:H10" si="5">SUM(D8:G8)</f>
        <v>53712.225699999995</v>
      </c>
      <c r="I8" s="25">
        <f>E8*K4</f>
        <v>19354.748</v>
      </c>
      <c r="J8" s="25">
        <f>E8*K4</f>
        <v>19354.748</v>
      </c>
      <c r="K8" s="25">
        <f>E8*K4</f>
        <v>19354.748</v>
      </c>
      <c r="L8" s="22">
        <f t="shared" si="2"/>
        <v>58064.243999999999</v>
      </c>
      <c r="M8" s="25">
        <f>E8*K4</f>
        <v>19354.748</v>
      </c>
      <c r="N8" s="25">
        <f>E8*K4</f>
        <v>19354.748</v>
      </c>
      <c r="O8" s="25">
        <f>E8*K4</f>
        <v>19354.748</v>
      </c>
      <c r="P8" s="22">
        <f t="shared" ref="P8:P10" si="6">SUM(M8:O8)</f>
        <v>58064.243999999999</v>
      </c>
      <c r="Q8" s="25">
        <f>E8*K4</f>
        <v>19354.748</v>
      </c>
      <c r="R8" s="25">
        <f>E8*K4</f>
        <v>19354.748</v>
      </c>
      <c r="S8" s="25">
        <f>E8*K4</f>
        <v>19354.748</v>
      </c>
      <c r="T8" s="22">
        <f t="shared" ref="T8:T10" si="7">SUM(Q8:S8)</f>
        <v>58064.243999999999</v>
      </c>
      <c r="U8" s="28">
        <f t="shared" si="1"/>
        <v>227904.9577</v>
      </c>
    </row>
    <row r="9" spans="1:22" s="13" customFormat="1">
      <c r="A9" s="23" t="s">
        <v>18</v>
      </c>
      <c r="B9" s="15" t="s">
        <v>30</v>
      </c>
      <c r="C9" s="27">
        <v>1.86</v>
      </c>
      <c r="D9" s="29">
        <v>5806.39</v>
      </c>
      <c r="E9" s="27">
        <v>2.2000000000000002</v>
      </c>
      <c r="F9" s="29">
        <v>7603.5</v>
      </c>
      <c r="G9" s="25">
        <f>E9*K4</f>
        <v>15207.302000000001</v>
      </c>
      <c r="H9" s="20">
        <f t="shared" si="5"/>
        <v>28619.392</v>
      </c>
      <c r="I9" s="25">
        <f>E9*K4</f>
        <v>15207.302000000001</v>
      </c>
      <c r="J9" s="25">
        <f>E9*K4</f>
        <v>15207.302000000001</v>
      </c>
      <c r="K9" s="25">
        <f>E9*K4</f>
        <v>15207.302000000001</v>
      </c>
      <c r="L9" s="22">
        <f t="shared" si="2"/>
        <v>45621.906000000003</v>
      </c>
      <c r="M9" s="28">
        <f>E9*K4</f>
        <v>15207.302000000001</v>
      </c>
      <c r="N9" s="28">
        <f>E9*K4</f>
        <v>15207.302000000001</v>
      </c>
      <c r="O9" s="28">
        <f>N9</f>
        <v>15207.302000000001</v>
      </c>
      <c r="P9" s="22">
        <f t="shared" si="6"/>
        <v>45621.906000000003</v>
      </c>
      <c r="Q9" s="28">
        <f>E9*K4</f>
        <v>15207.302000000001</v>
      </c>
      <c r="R9" s="28">
        <f>E9*K4</f>
        <v>15207.302000000001</v>
      </c>
      <c r="S9" s="28">
        <f>E9*K4</f>
        <v>15207.302000000001</v>
      </c>
      <c r="T9" s="22">
        <f t="shared" si="7"/>
        <v>45621.906000000003</v>
      </c>
      <c r="U9" s="28">
        <f t="shared" si="1"/>
        <v>165485.11000000002</v>
      </c>
    </row>
    <row r="10" spans="1:22" s="13" customFormat="1" ht="15.75" thickBot="1">
      <c r="A10" s="32" t="s">
        <v>31</v>
      </c>
      <c r="B10" s="33" t="s">
        <v>19</v>
      </c>
      <c r="C10" s="48">
        <v>0.56999999999999995</v>
      </c>
      <c r="D10" s="34">
        <f t="shared" si="4"/>
        <v>3940.0736999999995</v>
      </c>
      <c r="E10" s="48">
        <v>0.35</v>
      </c>
      <c r="F10" s="34">
        <f>E10*K4</f>
        <v>2419.3434999999999</v>
      </c>
      <c r="G10" s="34">
        <f>F10</f>
        <v>2419.3434999999999</v>
      </c>
      <c r="H10" s="66">
        <f t="shared" si="5"/>
        <v>8779.1106999999993</v>
      </c>
      <c r="I10" s="34">
        <f>G10</f>
        <v>2419.3434999999999</v>
      </c>
      <c r="J10" s="34">
        <f>I10</f>
        <v>2419.3434999999999</v>
      </c>
      <c r="K10" s="34">
        <f>J10</f>
        <v>2419.3434999999999</v>
      </c>
      <c r="L10" s="84">
        <f t="shared" si="2"/>
        <v>7258.0304999999998</v>
      </c>
      <c r="M10" s="58">
        <f>K10</f>
        <v>2419.3434999999999</v>
      </c>
      <c r="N10" s="58">
        <f>M10</f>
        <v>2419.3434999999999</v>
      </c>
      <c r="O10" s="58">
        <f>N10</f>
        <v>2419.3434999999999</v>
      </c>
      <c r="P10" s="84">
        <f t="shared" si="6"/>
        <v>7258.0304999999998</v>
      </c>
      <c r="Q10" s="58">
        <f>O10</f>
        <v>2419.3434999999999</v>
      </c>
      <c r="R10" s="58">
        <f>Q10</f>
        <v>2419.3434999999999</v>
      </c>
      <c r="S10" s="58">
        <f>R10</f>
        <v>2419.3434999999999</v>
      </c>
      <c r="T10" s="84">
        <f t="shared" si="7"/>
        <v>7258.0304999999998</v>
      </c>
      <c r="U10" s="58">
        <f t="shared" si="1"/>
        <v>30553.2022</v>
      </c>
    </row>
    <row r="11" spans="1:22" s="13" customFormat="1" ht="15.75" thickBot="1">
      <c r="A11" s="36" t="s">
        <v>32</v>
      </c>
      <c r="B11" s="37" t="s">
        <v>20</v>
      </c>
      <c r="C11" s="41"/>
      <c r="D11" s="38">
        <v>96607.96</v>
      </c>
      <c r="E11" s="41"/>
      <c r="F11" s="38">
        <v>127919.6</v>
      </c>
      <c r="G11" s="38">
        <v>90730.89</v>
      </c>
      <c r="H11" s="119">
        <f>D11+F11+G11+G12</f>
        <v>316823.45</v>
      </c>
      <c r="I11" s="40">
        <v>99895.85</v>
      </c>
      <c r="J11" s="38">
        <v>90051.87</v>
      </c>
      <c r="K11" s="38">
        <v>105402.92</v>
      </c>
      <c r="L11" s="68">
        <f>I11+J11+K11+K12+K13</f>
        <v>300150.64</v>
      </c>
      <c r="M11" s="40">
        <v>100093.88</v>
      </c>
      <c r="N11" s="40">
        <v>89946.23</v>
      </c>
      <c r="O11" s="40">
        <v>104089.26</v>
      </c>
      <c r="P11" s="68">
        <f>M11+N11+O11+O12+O13</f>
        <v>298032.37</v>
      </c>
      <c r="Q11" s="40">
        <v>104688</v>
      </c>
      <c r="R11" s="40">
        <v>89966.05</v>
      </c>
      <c r="S11" s="40">
        <v>103762.08</v>
      </c>
      <c r="T11" s="68">
        <f>SUM(Q11:S11)+S12+S13</f>
        <v>305016.13</v>
      </c>
      <c r="U11" s="125">
        <f t="shared" si="1"/>
        <v>1220022.5900000001</v>
      </c>
    </row>
    <row r="12" spans="1:22" s="13" customFormat="1">
      <c r="A12" s="44"/>
      <c r="B12" s="45" t="s">
        <v>38</v>
      </c>
      <c r="C12" s="89"/>
      <c r="D12" s="46"/>
      <c r="E12" s="89"/>
      <c r="F12" s="46"/>
      <c r="G12" s="232">
        <v>1565</v>
      </c>
      <c r="H12" s="98"/>
      <c r="I12" s="76"/>
      <c r="J12" s="46"/>
      <c r="K12" s="239">
        <v>0</v>
      </c>
      <c r="L12" s="85"/>
      <c r="M12" s="76"/>
      <c r="N12" s="76"/>
      <c r="O12" s="231">
        <f>3903</f>
        <v>3903</v>
      </c>
      <c r="P12" s="85"/>
      <c r="Q12" s="76"/>
      <c r="R12" s="76"/>
      <c r="S12" s="231"/>
      <c r="T12" s="89">
        <f>0</f>
        <v>0</v>
      </c>
      <c r="U12" s="76">
        <f t="shared" si="1"/>
        <v>0</v>
      </c>
    </row>
    <row r="13" spans="1:22" s="13" customFormat="1">
      <c r="A13" s="23"/>
      <c r="B13" s="15" t="s">
        <v>72</v>
      </c>
      <c r="C13" s="27"/>
      <c r="D13" s="25"/>
      <c r="E13" s="27"/>
      <c r="F13" s="25"/>
      <c r="G13" s="25"/>
      <c r="H13" s="20"/>
      <c r="I13" s="28"/>
      <c r="J13" s="25"/>
      <c r="K13" s="29">
        <v>4800</v>
      </c>
      <c r="L13" s="22"/>
      <c r="M13" s="28"/>
      <c r="N13" s="28"/>
      <c r="O13" s="28"/>
      <c r="P13" s="22"/>
      <c r="Q13" s="28"/>
      <c r="R13" s="28"/>
      <c r="S13" s="30">
        <f>4800+1800</f>
        <v>6600</v>
      </c>
      <c r="T13" s="22"/>
      <c r="U13" s="28"/>
    </row>
    <row r="14" spans="1:22" s="13" customFormat="1">
      <c r="A14" s="23"/>
      <c r="B14" s="15" t="s">
        <v>21</v>
      </c>
      <c r="C14" s="27"/>
      <c r="D14" s="25">
        <f>D11-D6</f>
        <v>-3621.9505999999819</v>
      </c>
      <c r="E14" s="27"/>
      <c r="F14" s="25">
        <f t="shared" ref="F14:T14" si="8">F11-F6</f>
        <v>28242.798800000004</v>
      </c>
      <c r="G14" s="25">
        <f t="shared" si="8"/>
        <v>-16549.713199999998</v>
      </c>
      <c r="H14" s="22">
        <f t="shared" si="8"/>
        <v>9620.6149999999907</v>
      </c>
      <c r="I14" s="28">
        <f t="shared" si="8"/>
        <v>-7384.7531999999919</v>
      </c>
      <c r="J14" s="25">
        <f t="shared" si="8"/>
        <v>-17228.733200000002</v>
      </c>
      <c r="K14" s="25">
        <f t="shared" si="8"/>
        <v>-1877.6831999999995</v>
      </c>
      <c r="L14" s="22">
        <f t="shared" si="8"/>
        <v>-21691.169599999965</v>
      </c>
      <c r="M14" s="28">
        <f t="shared" si="8"/>
        <v>-7186.7231999999931</v>
      </c>
      <c r="N14" s="28">
        <f t="shared" si="8"/>
        <v>-17334.373200000002</v>
      </c>
      <c r="O14" s="28">
        <f t="shared" si="8"/>
        <v>-3191.343200000003</v>
      </c>
      <c r="P14" s="22">
        <f t="shared" si="8"/>
        <v>-23809.439599999983</v>
      </c>
      <c r="Q14" s="28">
        <f t="shared" si="8"/>
        <v>-2592.6031999999977</v>
      </c>
      <c r="R14" s="28">
        <f t="shared" si="8"/>
        <v>-17314.553199999995</v>
      </c>
      <c r="S14" s="28">
        <f t="shared" si="8"/>
        <v>-3518.523199999996</v>
      </c>
      <c r="T14" s="22">
        <f t="shared" si="8"/>
        <v>-16825.679599999974</v>
      </c>
      <c r="U14" s="28">
        <f t="shared" ref="U14:U32" si="9">H14+L14+P14+T14</f>
        <v>-52705.673799999931</v>
      </c>
    </row>
    <row r="15" spans="1:22" s="13" customFormat="1" ht="26.25" customHeight="1">
      <c r="A15" s="31" t="s">
        <v>22</v>
      </c>
      <c r="B15" s="19" t="s">
        <v>23</v>
      </c>
      <c r="C15" s="27"/>
      <c r="D15" s="22">
        <f>SUM(D16:D24)</f>
        <v>72063.164699999994</v>
      </c>
      <c r="E15" s="27"/>
      <c r="F15" s="22">
        <f>F16+F17+F18+F19+F20+F21+F22+F23+F24</f>
        <v>90750.61440000002</v>
      </c>
      <c r="G15" s="22">
        <f>G16+G17+G18+G19+G20+G21+G22+G23+G24</f>
        <v>87928.416400000031</v>
      </c>
      <c r="H15" s="20">
        <f>SUM(D15:G15)</f>
        <v>250742.19550000003</v>
      </c>
      <c r="I15" s="22">
        <f>SUM(I16:I24)</f>
        <v>107032.41640000003</v>
      </c>
      <c r="J15" s="22">
        <f>I15</f>
        <v>107032.41640000003</v>
      </c>
      <c r="K15" s="22">
        <f>J15</f>
        <v>107032.41640000003</v>
      </c>
      <c r="L15" s="22">
        <f t="shared" ref="L15:L31" si="10">I15+J15+K15</f>
        <v>321097.24920000008</v>
      </c>
      <c r="M15" s="22">
        <f>M16+M17+M18+M19+M20+M21+M22+M23+M24</f>
        <v>90093.416400000031</v>
      </c>
      <c r="N15" s="22">
        <f t="shared" ref="N15:O15" si="11">N16+N17+N18+N19+N20+N21+N22+N23+N24</f>
        <v>253350.41639999999</v>
      </c>
      <c r="O15" s="22">
        <f t="shared" si="11"/>
        <v>85971.416400000016</v>
      </c>
      <c r="P15" s="20">
        <f>SUM(M15:O15)</f>
        <v>429415.24920000008</v>
      </c>
      <c r="Q15" s="22">
        <f>SUM(Q16:Q24)</f>
        <v>84136.416400000016</v>
      </c>
      <c r="R15" s="22">
        <f t="shared" ref="R15:S15" si="12">SUM(R16:R24)</f>
        <v>91210.416400000031</v>
      </c>
      <c r="S15" s="22">
        <f t="shared" si="12"/>
        <v>100910.08640000003</v>
      </c>
      <c r="T15" s="20">
        <f>SUM(Q15:S15)</f>
        <v>276256.91920000006</v>
      </c>
      <c r="U15" s="22">
        <f t="shared" si="9"/>
        <v>1277511.6131000002</v>
      </c>
    </row>
    <row r="16" spans="1:22" s="13" customFormat="1">
      <c r="A16" s="23" t="s">
        <v>24</v>
      </c>
      <c r="B16" s="15" t="s">
        <v>17</v>
      </c>
      <c r="C16" s="27">
        <v>2.17</v>
      </c>
      <c r="D16" s="25">
        <f t="shared" ref="D16:D22" si="13">C16*$K$4</f>
        <v>14999.929699999999</v>
      </c>
      <c r="E16" s="27">
        <v>2.8</v>
      </c>
      <c r="F16" s="25">
        <f>E16*K4</f>
        <v>19354.748</v>
      </c>
      <c r="G16" s="25">
        <f>E16*K4</f>
        <v>19354.748</v>
      </c>
      <c r="H16" s="20">
        <f>SUM(D16:G16)</f>
        <v>53712.225699999995</v>
      </c>
      <c r="I16" s="25">
        <f>E16*K4</f>
        <v>19354.748</v>
      </c>
      <c r="J16" s="25">
        <f>E16*K4</f>
        <v>19354.748</v>
      </c>
      <c r="K16" s="25">
        <f>E16*K4</f>
        <v>19354.748</v>
      </c>
      <c r="L16" s="22">
        <f t="shared" si="10"/>
        <v>58064.243999999999</v>
      </c>
      <c r="M16" s="25">
        <f>E16*K4</f>
        <v>19354.748</v>
      </c>
      <c r="N16" s="25">
        <f>E16*K4</f>
        <v>19354.748</v>
      </c>
      <c r="O16" s="25">
        <f>E16*K4</f>
        <v>19354.748</v>
      </c>
      <c r="P16" s="20">
        <f>SUM(M16:O16)</f>
        <v>58064.243999999999</v>
      </c>
      <c r="Q16" s="25">
        <f>E16*K4</f>
        <v>19354.748</v>
      </c>
      <c r="R16" s="25">
        <f>E16*K4</f>
        <v>19354.748</v>
      </c>
      <c r="S16" s="25">
        <f>E16*K4</f>
        <v>19354.748</v>
      </c>
      <c r="T16" s="20">
        <f>SUM(Q16:S16)</f>
        <v>58064.243999999999</v>
      </c>
      <c r="U16" s="28">
        <f t="shared" si="9"/>
        <v>227904.9577</v>
      </c>
    </row>
    <row r="17" spans="1:22" s="13" customFormat="1">
      <c r="A17" s="23" t="s">
        <v>25</v>
      </c>
      <c r="B17" s="15" t="s">
        <v>26</v>
      </c>
      <c r="C17" s="27">
        <v>2.99</v>
      </c>
      <c r="D17" s="25">
        <f t="shared" si="13"/>
        <v>20668.105900000002</v>
      </c>
      <c r="E17" s="27">
        <v>3.99</v>
      </c>
      <c r="F17" s="25">
        <f>E17*K4</f>
        <v>27580.515900000002</v>
      </c>
      <c r="G17" s="25">
        <f>E17*K4</f>
        <v>27580.515900000002</v>
      </c>
      <c r="H17" s="20">
        <f t="shared" ref="H17:H31" si="14">SUM(D17:G17)</f>
        <v>75833.127700000012</v>
      </c>
      <c r="I17" s="25">
        <f>E17*K4</f>
        <v>27580.515900000002</v>
      </c>
      <c r="J17" s="25">
        <f>E17*K4</f>
        <v>27580.515900000002</v>
      </c>
      <c r="K17" s="25">
        <f>J17</f>
        <v>27580.515900000002</v>
      </c>
      <c r="L17" s="22">
        <f t="shared" si="10"/>
        <v>82741.54770000001</v>
      </c>
      <c r="M17" s="28">
        <f>K17</f>
        <v>27580.515900000002</v>
      </c>
      <c r="N17" s="28">
        <f t="shared" ref="N17:O17" si="15">M17</f>
        <v>27580.515900000002</v>
      </c>
      <c r="O17" s="28">
        <f t="shared" si="15"/>
        <v>27580.515900000002</v>
      </c>
      <c r="P17" s="20">
        <f>SUM(M17:O17)</f>
        <v>82741.54770000001</v>
      </c>
      <c r="Q17" s="28">
        <f>O17</f>
        <v>27580.515900000002</v>
      </c>
      <c r="R17" s="28">
        <f t="shared" ref="R17:S17" si="16">Q17</f>
        <v>27580.515900000002</v>
      </c>
      <c r="S17" s="28">
        <f t="shared" si="16"/>
        <v>27580.515900000002</v>
      </c>
      <c r="T17" s="20">
        <f>SUM(Q17:S17)</f>
        <v>82741.54770000001</v>
      </c>
      <c r="U17" s="28">
        <f t="shared" si="9"/>
        <v>324057.7708</v>
      </c>
    </row>
    <row r="18" spans="1:22" s="13" customFormat="1" ht="15.75" thickBot="1">
      <c r="A18" s="32" t="s">
        <v>27</v>
      </c>
      <c r="B18" s="33" t="s">
        <v>30</v>
      </c>
      <c r="C18" s="48">
        <v>1.86</v>
      </c>
      <c r="D18" s="91">
        <v>5806.39</v>
      </c>
      <c r="E18" s="48">
        <v>2.2000000000000002</v>
      </c>
      <c r="F18" s="91">
        <v>7603.5</v>
      </c>
      <c r="G18" s="34">
        <f>E18*K4</f>
        <v>15207.302000000001</v>
      </c>
      <c r="H18" s="66">
        <f t="shared" si="14"/>
        <v>28619.392</v>
      </c>
      <c r="I18" s="34">
        <f>E18*K4</f>
        <v>15207.302000000001</v>
      </c>
      <c r="J18" s="34">
        <f>E18*K4</f>
        <v>15207.302000000001</v>
      </c>
      <c r="K18" s="34">
        <f>E18*K4</f>
        <v>15207.302000000001</v>
      </c>
      <c r="L18" s="84">
        <f t="shared" si="10"/>
        <v>45621.906000000003</v>
      </c>
      <c r="M18" s="34">
        <f>E18*K4</f>
        <v>15207.302000000001</v>
      </c>
      <c r="N18" s="34">
        <f>E18*K4</f>
        <v>15207.302000000001</v>
      </c>
      <c r="O18" s="34">
        <f>E18*K4</f>
        <v>15207.302000000001</v>
      </c>
      <c r="P18" s="66">
        <f t="shared" ref="P18:P31" si="17">SUM(M18:O18)</f>
        <v>45621.906000000003</v>
      </c>
      <c r="Q18" s="58">
        <f>E18*K4</f>
        <v>15207.302000000001</v>
      </c>
      <c r="R18" s="58">
        <f>E18*K4</f>
        <v>15207.302000000001</v>
      </c>
      <c r="S18" s="58">
        <f>E18*K4</f>
        <v>15207.302000000001</v>
      </c>
      <c r="T18" s="66">
        <f t="shared" ref="T18:T31" si="18">SUM(Q18:S18)</f>
        <v>45621.906000000003</v>
      </c>
      <c r="U18" s="58">
        <f t="shared" si="9"/>
        <v>165485.11000000002</v>
      </c>
    </row>
    <row r="19" spans="1:22" s="13" customFormat="1" ht="15.75" thickBot="1">
      <c r="A19" s="130" t="s">
        <v>28</v>
      </c>
      <c r="B19" s="131" t="s">
        <v>40</v>
      </c>
      <c r="C19" s="41"/>
      <c r="D19" s="38">
        <v>20151</v>
      </c>
      <c r="E19" s="41"/>
      <c r="F19" s="38">
        <v>15129</v>
      </c>
      <c r="G19" s="38">
        <v>4703</v>
      </c>
      <c r="H19" s="119">
        <f t="shared" si="14"/>
        <v>39983</v>
      </c>
      <c r="I19" s="40">
        <v>23807</v>
      </c>
      <c r="J19" s="38">
        <v>97453</v>
      </c>
      <c r="K19" s="38">
        <v>170497</v>
      </c>
      <c r="L19" s="68">
        <f t="shared" si="10"/>
        <v>291757</v>
      </c>
      <c r="M19" s="40">
        <v>6868</v>
      </c>
      <c r="N19" s="40">
        <v>170125</v>
      </c>
      <c r="O19" s="40">
        <v>2746</v>
      </c>
      <c r="P19" s="119">
        <f t="shared" si="17"/>
        <v>179739</v>
      </c>
      <c r="Q19" s="40">
        <v>911</v>
      </c>
      <c r="R19" s="40">
        <v>7985</v>
      </c>
      <c r="S19" s="40">
        <v>13069</v>
      </c>
      <c r="T19" s="119">
        <f t="shared" si="18"/>
        <v>21965</v>
      </c>
      <c r="U19" s="125">
        <f t="shared" si="9"/>
        <v>533444</v>
      </c>
    </row>
    <row r="20" spans="1:22" s="13" customFormat="1">
      <c r="A20" s="44" t="s">
        <v>33</v>
      </c>
      <c r="B20" s="45" t="s">
        <v>39</v>
      </c>
      <c r="C20" s="89">
        <v>0.82</v>
      </c>
      <c r="D20" s="46">
        <f t="shared" si="13"/>
        <v>5668.1761999999999</v>
      </c>
      <c r="E20" s="89">
        <v>1</v>
      </c>
      <c r="F20" s="46">
        <f>E20*K4</f>
        <v>6912.41</v>
      </c>
      <c r="G20" s="46">
        <f>F20</f>
        <v>6912.41</v>
      </c>
      <c r="H20" s="98">
        <f t="shared" si="14"/>
        <v>19493.996200000001</v>
      </c>
      <c r="I20" s="46">
        <f>G20</f>
        <v>6912.41</v>
      </c>
      <c r="J20" s="46">
        <f t="shared" ref="J20:K23" si="19">I20</f>
        <v>6912.41</v>
      </c>
      <c r="K20" s="46">
        <f t="shared" si="19"/>
        <v>6912.41</v>
      </c>
      <c r="L20" s="85">
        <f t="shared" si="10"/>
        <v>20737.23</v>
      </c>
      <c r="M20" s="76">
        <f>K20</f>
        <v>6912.41</v>
      </c>
      <c r="N20" s="76">
        <f t="shared" ref="N20:O22" si="20">M20</f>
        <v>6912.41</v>
      </c>
      <c r="O20" s="76">
        <f t="shared" si="20"/>
        <v>6912.41</v>
      </c>
      <c r="P20" s="124">
        <f t="shared" si="17"/>
        <v>20737.23</v>
      </c>
      <c r="Q20" s="76">
        <f>O20</f>
        <v>6912.41</v>
      </c>
      <c r="R20" s="76">
        <f t="shared" ref="R20:S22" si="21">Q20</f>
        <v>6912.41</v>
      </c>
      <c r="S20" s="76">
        <f t="shared" si="21"/>
        <v>6912.41</v>
      </c>
      <c r="T20" s="98">
        <f t="shared" si="18"/>
        <v>20737.23</v>
      </c>
      <c r="U20" s="76">
        <f t="shared" si="9"/>
        <v>81705.686199999996</v>
      </c>
    </row>
    <row r="21" spans="1:22" s="13" customFormat="1" ht="15.75" customHeight="1">
      <c r="A21" s="23" t="s">
        <v>34</v>
      </c>
      <c r="B21" s="15" t="s">
        <v>41</v>
      </c>
      <c r="C21" s="27">
        <v>0.12</v>
      </c>
      <c r="D21" s="25">
        <f t="shared" si="13"/>
        <v>829.48919999999998</v>
      </c>
      <c r="E21" s="27">
        <v>0.2</v>
      </c>
      <c r="F21" s="25">
        <f>E21*K4</f>
        <v>1382.482</v>
      </c>
      <c r="G21" s="25">
        <f>E21*K4</f>
        <v>1382.482</v>
      </c>
      <c r="H21" s="20">
        <f t="shared" si="14"/>
        <v>3594.6531999999997</v>
      </c>
      <c r="I21" s="25">
        <f>E21*K4</f>
        <v>1382.482</v>
      </c>
      <c r="J21" s="25">
        <f t="shared" si="19"/>
        <v>1382.482</v>
      </c>
      <c r="K21" s="25">
        <f t="shared" si="19"/>
        <v>1382.482</v>
      </c>
      <c r="L21" s="22">
        <f t="shared" si="10"/>
        <v>4147.4459999999999</v>
      </c>
      <c r="M21" s="28">
        <f>K21</f>
        <v>1382.482</v>
      </c>
      <c r="N21" s="28">
        <f t="shared" si="20"/>
        <v>1382.482</v>
      </c>
      <c r="O21" s="28">
        <f t="shared" si="20"/>
        <v>1382.482</v>
      </c>
      <c r="P21" s="66">
        <f t="shared" si="17"/>
        <v>4147.4459999999999</v>
      </c>
      <c r="Q21" s="28">
        <f>O21</f>
        <v>1382.482</v>
      </c>
      <c r="R21" s="28">
        <f t="shared" si="21"/>
        <v>1382.482</v>
      </c>
      <c r="S21" s="28">
        <f t="shared" si="21"/>
        <v>1382.482</v>
      </c>
      <c r="T21" s="20">
        <f t="shared" si="18"/>
        <v>4147.4459999999999</v>
      </c>
      <c r="U21" s="28">
        <f t="shared" si="9"/>
        <v>16036.9912</v>
      </c>
    </row>
    <row r="22" spans="1:22" s="13" customFormat="1">
      <c r="A22" s="23" t="s">
        <v>35</v>
      </c>
      <c r="B22" s="15" t="s">
        <v>29</v>
      </c>
      <c r="C22" s="27">
        <v>0.56999999999999995</v>
      </c>
      <c r="D22" s="25">
        <f t="shared" si="13"/>
        <v>3940.0736999999995</v>
      </c>
      <c r="E22" s="27">
        <v>0.35</v>
      </c>
      <c r="F22" s="25">
        <f>E22*K4</f>
        <v>2419.3434999999999</v>
      </c>
      <c r="G22" s="25">
        <f>F22</f>
        <v>2419.3434999999999</v>
      </c>
      <c r="H22" s="20">
        <f t="shared" si="14"/>
        <v>8779.1106999999993</v>
      </c>
      <c r="I22" s="25">
        <f>G22</f>
        <v>2419.3434999999999</v>
      </c>
      <c r="J22" s="25">
        <f t="shared" si="19"/>
        <v>2419.3434999999999</v>
      </c>
      <c r="K22" s="25">
        <f t="shared" si="19"/>
        <v>2419.3434999999999</v>
      </c>
      <c r="L22" s="22">
        <f t="shared" si="10"/>
        <v>7258.0304999999998</v>
      </c>
      <c r="M22" s="28">
        <f>K22</f>
        <v>2419.3434999999999</v>
      </c>
      <c r="N22" s="28">
        <f t="shared" si="20"/>
        <v>2419.3434999999999</v>
      </c>
      <c r="O22" s="28">
        <f t="shared" si="20"/>
        <v>2419.3434999999999</v>
      </c>
      <c r="P22" s="20">
        <f t="shared" si="17"/>
        <v>7258.0304999999998</v>
      </c>
      <c r="Q22" s="28">
        <f>O22</f>
        <v>2419.3434999999999</v>
      </c>
      <c r="R22" s="28">
        <f t="shared" si="21"/>
        <v>2419.3434999999999</v>
      </c>
      <c r="S22" s="28">
        <f t="shared" si="21"/>
        <v>2419.3434999999999</v>
      </c>
      <c r="T22" s="20">
        <f t="shared" si="18"/>
        <v>7258.0304999999998</v>
      </c>
      <c r="U22" s="28">
        <f t="shared" si="9"/>
        <v>30553.2022</v>
      </c>
    </row>
    <row r="23" spans="1:22" s="13" customFormat="1" ht="15.75" thickBot="1">
      <c r="A23" s="32" t="s">
        <v>124</v>
      </c>
      <c r="B23" s="278" t="s">
        <v>123</v>
      </c>
      <c r="C23" s="128"/>
      <c r="D23" s="75"/>
      <c r="E23" s="128">
        <v>1.5</v>
      </c>
      <c r="F23" s="75">
        <f>E23*K4</f>
        <v>10368.615</v>
      </c>
      <c r="G23" s="75">
        <f>F23</f>
        <v>10368.615</v>
      </c>
      <c r="H23" s="124">
        <f>G23+F23+D23</f>
        <v>20737.23</v>
      </c>
      <c r="I23" s="75">
        <f>G23</f>
        <v>10368.615</v>
      </c>
      <c r="J23" s="75">
        <f t="shared" si="19"/>
        <v>10368.615</v>
      </c>
      <c r="K23" s="75">
        <f t="shared" si="19"/>
        <v>10368.615</v>
      </c>
      <c r="L23" s="279">
        <f>K23+J23+I23</f>
        <v>31105.845000000001</v>
      </c>
      <c r="M23" s="159">
        <f>K23</f>
        <v>10368.615</v>
      </c>
      <c r="N23" s="159">
        <f>M23</f>
        <v>10368.615</v>
      </c>
      <c r="O23" s="159">
        <f>N23</f>
        <v>10368.615</v>
      </c>
      <c r="P23" s="124">
        <f>O23+N23+M23</f>
        <v>31105.845000000001</v>
      </c>
      <c r="Q23" s="159">
        <f>O23</f>
        <v>10368.615</v>
      </c>
      <c r="R23" s="159">
        <f>Q23</f>
        <v>10368.615</v>
      </c>
      <c r="S23" s="159">
        <f>R23</f>
        <v>10368.615</v>
      </c>
      <c r="T23" s="124">
        <f>S23+R23+Q23</f>
        <v>31105.845000000001</v>
      </c>
      <c r="U23" s="58">
        <f t="shared" si="9"/>
        <v>114054.765</v>
      </c>
    </row>
    <row r="24" spans="1:22" s="13" customFormat="1" ht="15.75" thickBot="1">
      <c r="A24" s="93" t="s">
        <v>125</v>
      </c>
      <c r="B24" s="59" t="s">
        <v>84</v>
      </c>
      <c r="C24" s="41"/>
      <c r="D24" s="43">
        <f>SUM(D26:D31)</f>
        <v>0</v>
      </c>
      <c r="E24" s="41"/>
      <c r="F24" s="43">
        <f>SUM(F26:F31)</f>
        <v>0</v>
      </c>
      <c r="G24" s="43">
        <f>SUM(G26:G31)</f>
        <v>0</v>
      </c>
      <c r="H24" s="67">
        <f t="shared" si="14"/>
        <v>0</v>
      </c>
      <c r="I24" s="43">
        <f>SUM(I26:I31)</f>
        <v>0</v>
      </c>
      <c r="J24" s="43">
        <f>SUM(J26:J31)</f>
        <v>0</v>
      </c>
      <c r="K24" s="43">
        <f>SUM(K26:K31)</f>
        <v>0</v>
      </c>
      <c r="L24" s="69">
        <f t="shared" si="10"/>
        <v>0</v>
      </c>
      <c r="M24" s="42">
        <f>SUM(M26:M31)</f>
        <v>0</v>
      </c>
      <c r="N24" s="42">
        <f>SUM(N26:N31)</f>
        <v>0</v>
      </c>
      <c r="O24" s="42">
        <f>SUM(O26:O31)</f>
        <v>0</v>
      </c>
      <c r="P24" s="67">
        <f t="shared" si="17"/>
        <v>0</v>
      </c>
      <c r="Q24" s="42">
        <f>SUM(Q26:Q31)</f>
        <v>0</v>
      </c>
      <c r="R24" s="42">
        <f>SUM(R26:R31)</f>
        <v>0</v>
      </c>
      <c r="S24" s="40">
        <f>SUM(S26:S31)</f>
        <v>4615.67</v>
      </c>
      <c r="T24" s="67">
        <f t="shared" si="18"/>
        <v>4615.67</v>
      </c>
      <c r="U24" s="73">
        <f t="shared" si="9"/>
        <v>4615.67</v>
      </c>
    </row>
    <row r="25" spans="1:22" s="13" customFormat="1">
      <c r="A25" s="44"/>
      <c r="B25" s="45" t="s">
        <v>44</v>
      </c>
      <c r="C25" s="89"/>
      <c r="D25" s="46"/>
      <c r="E25" s="89"/>
      <c r="F25" s="46"/>
      <c r="G25" s="46"/>
      <c r="H25" s="98">
        <f t="shared" si="14"/>
        <v>0</v>
      </c>
      <c r="I25" s="76"/>
      <c r="J25" s="46"/>
      <c r="K25" s="46"/>
      <c r="L25" s="85">
        <f t="shared" si="10"/>
        <v>0</v>
      </c>
      <c r="M25" s="76"/>
      <c r="N25" s="76"/>
      <c r="O25" s="76"/>
      <c r="P25" s="124">
        <f t="shared" si="17"/>
        <v>0</v>
      </c>
      <c r="Q25" s="76"/>
      <c r="R25" s="76"/>
      <c r="S25" s="76"/>
      <c r="T25" s="98">
        <f t="shared" si="18"/>
        <v>0</v>
      </c>
      <c r="U25" s="76">
        <f t="shared" si="9"/>
        <v>0</v>
      </c>
    </row>
    <row r="26" spans="1:22" s="13" customFormat="1">
      <c r="A26" s="23"/>
      <c r="B26" s="15" t="s">
        <v>48</v>
      </c>
      <c r="C26" s="27"/>
      <c r="D26" s="25"/>
      <c r="E26" s="27"/>
      <c r="F26" s="25"/>
      <c r="G26" s="25"/>
      <c r="H26" s="20">
        <f t="shared" si="14"/>
        <v>0</v>
      </c>
      <c r="I26" s="28"/>
      <c r="J26" s="25"/>
      <c r="K26" s="25"/>
      <c r="L26" s="22">
        <f t="shared" si="10"/>
        <v>0</v>
      </c>
      <c r="M26" s="28"/>
      <c r="N26" s="28"/>
      <c r="O26" s="30"/>
      <c r="P26" s="66">
        <f t="shared" si="17"/>
        <v>0</v>
      </c>
      <c r="Q26" s="28"/>
      <c r="R26" s="28"/>
      <c r="S26" s="28"/>
      <c r="T26" s="20">
        <f t="shared" si="18"/>
        <v>0</v>
      </c>
      <c r="U26" s="28">
        <f t="shared" si="9"/>
        <v>0</v>
      </c>
    </row>
    <row r="27" spans="1:22" s="13" customFormat="1">
      <c r="A27" s="23"/>
      <c r="B27" s="15" t="s">
        <v>49</v>
      </c>
      <c r="C27" s="27"/>
      <c r="D27" s="25"/>
      <c r="E27" s="27"/>
      <c r="F27" s="25"/>
      <c r="G27" s="25"/>
      <c r="H27" s="20">
        <f t="shared" si="14"/>
        <v>0</v>
      </c>
      <c r="I27" s="28"/>
      <c r="J27" s="25"/>
      <c r="K27" s="25"/>
      <c r="L27" s="22">
        <f t="shared" si="10"/>
        <v>0</v>
      </c>
      <c r="M27" s="28"/>
      <c r="N27" s="28"/>
      <c r="O27" s="30"/>
      <c r="P27" s="66">
        <f t="shared" si="17"/>
        <v>0</v>
      </c>
      <c r="Q27" s="28"/>
      <c r="R27" s="28"/>
      <c r="S27" s="28"/>
      <c r="T27" s="20">
        <f t="shared" si="18"/>
        <v>0</v>
      </c>
      <c r="U27" s="28">
        <f t="shared" si="9"/>
        <v>0</v>
      </c>
    </row>
    <row r="28" spans="1:22" s="13" customFormat="1">
      <c r="A28" s="23"/>
      <c r="B28" s="15" t="s">
        <v>53</v>
      </c>
      <c r="C28" s="27"/>
      <c r="D28" s="25"/>
      <c r="E28" s="27"/>
      <c r="F28" s="25"/>
      <c r="G28" s="29"/>
      <c r="H28" s="20">
        <f t="shared" si="14"/>
        <v>0</v>
      </c>
      <c r="I28" s="28"/>
      <c r="J28" s="25"/>
      <c r="K28" s="25"/>
      <c r="L28" s="22">
        <f t="shared" si="10"/>
        <v>0</v>
      </c>
      <c r="M28" s="28"/>
      <c r="N28" s="28"/>
      <c r="O28" s="30"/>
      <c r="P28" s="66">
        <f t="shared" si="17"/>
        <v>0</v>
      </c>
      <c r="Q28" s="28"/>
      <c r="R28" s="28"/>
      <c r="S28" s="28"/>
      <c r="T28" s="20">
        <f t="shared" si="18"/>
        <v>0</v>
      </c>
      <c r="U28" s="28">
        <f t="shared" si="9"/>
        <v>0</v>
      </c>
    </row>
    <row r="29" spans="1:22" s="13" customFormat="1">
      <c r="A29" s="23"/>
      <c r="B29" s="15" t="s">
        <v>62</v>
      </c>
      <c r="C29" s="27"/>
      <c r="D29" s="25"/>
      <c r="E29" s="27"/>
      <c r="F29" s="25"/>
      <c r="G29" s="29"/>
      <c r="H29" s="20">
        <f t="shared" si="14"/>
        <v>0</v>
      </c>
      <c r="I29" s="28"/>
      <c r="J29" s="25"/>
      <c r="K29" s="25"/>
      <c r="L29" s="22">
        <f t="shared" si="10"/>
        <v>0</v>
      </c>
      <c r="M29" s="28"/>
      <c r="N29" s="28"/>
      <c r="O29" s="28"/>
      <c r="P29" s="66">
        <f t="shared" si="17"/>
        <v>0</v>
      </c>
      <c r="Q29" s="28"/>
      <c r="R29" s="28"/>
      <c r="S29" s="28"/>
      <c r="T29" s="20">
        <f t="shared" si="18"/>
        <v>0</v>
      </c>
      <c r="U29" s="28">
        <f t="shared" si="9"/>
        <v>0</v>
      </c>
    </row>
    <row r="30" spans="1:22" s="13" customFormat="1">
      <c r="A30" s="23"/>
      <c r="B30" s="15" t="s">
        <v>51</v>
      </c>
      <c r="C30" s="27"/>
      <c r="D30" s="25"/>
      <c r="E30" s="27"/>
      <c r="F30" s="25"/>
      <c r="G30" s="29"/>
      <c r="H30" s="20">
        <f t="shared" si="14"/>
        <v>0</v>
      </c>
      <c r="I30" s="28"/>
      <c r="J30" s="25"/>
      <c r="K30" s="25"/>
      <c r="L30" s="22">
        <f t="shared" si="10"/>
        <v>0</v>
      </c>
      <c r="M30" s="28"/>
      <c r="N30" s="28"/>
      <c r="O30" s="28"/>
      <c r="P30" s="66">
        <f t="shared" si="17"/>
        <v>0</v>
      </c>
      <c r="Q30" s="28"/>
      <c r="R30" s="28"/>
      <c r="S30" s="28"/>
      <c r="T30" s="20">
        <f t="shared" si="18"/>
        <v>0</v>
      </c>
      <c r="U30" s="28">
        <f t="shared" si="9"/>
        <v>0</v>
      </c>
    </row>
    <row r="31" spans="1:22" s="13" customFormat="1">
      <c r="A31" s="23"/>
      <c r="B31" s="15" t="s">
        <v>83</v>
      </c>
      <c r="C31" s="27"/>
      <c r="D31" s="25"/>
      <c r="E31" s="27"/>
      <c r="F31" s="25"/>
      <c r="G31" s="29"/>
      <c r="H31" s="20">
        <f t="shared" si="14"/>
        <v>0</v>
      </c>
      <c r="I31" s="28"/>
      <c r="J31" s="25"/>
      <c r="K31" s="25"/>
      <c r="L31" s="22">
        <f t="shared" si="10"/>
        <v>0</v>
      </c>
      <c r="M31" s="28"/>
      <c r="N31" s="28"/>
      <c r="O31" s="28"/>
      <c r="P31" s="66">
        <f t="shared" si="17"/>
        <v>0</v>
      </c>
      <c r="Q31" s="28"/>
      <c r="R31" s="28"/>
      <c r="S31" s="30">
        <f>698.48+717.89+566.21+616.96+481.81+376.17+200+527.94+230.21+200</f>
        <v>4615.67</v>
      </c>
      <c r="T31" s="20">
        <f t="shared" si="18"/>
        <v>4615.67</v>
      </c>
      <c r="U31" s="28">
        <f t="shared" si="9"/>
        <v>4615.67</v>
      </c>
    </row>
    <row r="32" spans="1:22" s="13" customFormat="1">
      <c r="A32" s="23"/>
      <c r="B32" s="15" t="s">
        <v>43</v>
      </c>
      <c r="C32" s="116"/>
      <c r="D32" s="29"/>
      <c r="E32" s="116"/>
      <c r="F32" s="25"/>
      <c r="G32" s="25"/>
      <c r="H32" s="20">
        <f>H11-H15</f>
        <v>66081.254499999981</v>
      </c>
      <c r="I32" s="28"/>
      <c r="J32" s="25"/>
      <c r="K32" s="25"/>
      <c r="L32" s="20">
        <f>L11-L15</f>
        <v>-20946.609200000064</v>
      </c>
      <c r="M32" s="26"/>
      <c r="N32" s="26"/>
      <c r="O32" s="28"/>
      <c r="P32" s="20">
        <f>P11-P15</f>
        <v>-131382.87920000008</v>
      </c>
      <c r="Q32" s="28"/>
      <c r="R32" s="28"/>
      <c r="S32" s="28"/>
      <c r="T32" s="20">
        <f>T11-T15</f>
        <v>28759.210799999943</v>
      </c>
      <c r="U32" s="28">
        <f t="shared" si="9"/>
        <v>-57489.023100000224</v>
      </c>
      <c r="V32" s="126"/>
    </row>
    <row r="33" spans="4:5" s="13" customFormat="1">
      <c r="D33" s="50"/>
      <c r="E33" s="50"/>
    </row>
  </sheetData>
  <mergeCells count="4">
    <mergeCell ref="A1:L1"/>
    <mergeCell ref="A2:L2"/>
    <mergeCell ref="A3:L3"/>
    <mergeCell ref="R3:V3"/>
  </mergeCells>
  <pageMargins left="0.25" right="0.25" top="0.75" bottom="0.75" header="0.3" footer="0.3"/>
  <pageSetup paperSize="9" scale="5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4"/>
  <sheetViews>
    <sheetView zoomScaleNormal="100" workbookViewId="0">
      <selection activeCell="U35" sqref="U35"/>
    </sheetView>
  </sheetViews>
  <sheetFormatPr defaultRowHeight="15"/>
  <cols>
    <col min="1" max="1" width="4" customWidth="1"/>
    <col min="2" max="2" width="38.5703125" customWidth="1"/>
    <col min="3" max="3" width="9.85546875" customWidth="1"/>
    <col min="4" max="4" width="11.7109375" customWidth="1"/>
    <col min="5" max="5" width="9.85546875" customWidth="1"/>
    <col min="6" max="6" width="11" customWidth="1"/>
    <col min="7" max="7" width="10" customWidth="1"/>
    <col min="8" max="8" width="11.42578125" customWidth="1"/>
    <col min="9" max="10" width="10" customWidth="1"/>
    <col min="11" max="11" width="10.42578125" customWidth="1"/>
    <col min="12" max="12" width="9.28515625" customWidth="1"/>
    <col min="13" max="13" width="8.7109375" customWidth="1"/>
    <col min="14" max="14" width="8" customWidth="1"/>
    <col min="15" max="15" width="9.7109375" customWidth="1"/>
    <col min="16" max="16" width="10.140625" customWidth="1"/>
    <col min="17" max="17" width="9.42578125" customWidth="1"/>
    <col min="18" max="18" width="9.5703125" customWidth="1"/>
    <col min="19" max="19" width="10.28515625" customWidth="1"/>
    <col min="20" max="20" width="9.42578125" customWidth="1"/>
    <col min="21" max="24" width="9.140625" customWidth="1"/>
  </cols>
  <sheetData>
    <row r="1" spans="1:21" s="13" customForma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Q1" s="13" t="s">
        <v>94</v>
      </c>
    </row>
    <row r="2" spans="1:21" s="13" customFormat="1">
      <c r="A2" s="368" t="s">
        <v>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Q2" s="13" t="s">
        <v>95</v>
      </c>
    </row>
    <row r="3" spans="1:21" s="13" customFormat="1">
      <c r="A3" s="370" t="s">
        <v>119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Q3" s="373" t="s">
        <v>138</v>
      </c>
      <c r="R3" s="373"/>
      <c r="S3" s="373"/>
      <c r="T3" s="373"/>
      <c r="U3" s="373"/>
    </row>
    <row r="4" spans="1:21" s="13" customFormat="1" ht="15.75" thickBot="1">
      <c r="B4" s="13" t="s">
        <v>77</v>
      </c>
      <c r="K4" s="13">
        <f>5650+105.9+0.3</f>
        <v>5756.2</v>
      </c>
    </row>
    <row r="5" spans="1:21" s="13" customFormat="1">
      <c r="A5" s="134"/>
      <c r="B5" s="135" t="s">
        <v>2</v>
      </c>
      <c r="C5" s="351" t="s">
        <v>3</v>
      </c>
      <c r="D5" s="135" t="s">
        <v>4</v>
      </c>
      <c r="E5" s="135" t="s">
        <v>5</v>
      </c>
      <c r="F5" s="135" t="s">
        <v>6</v>
      </c>
      <c r="G5" s="137" t="s">
        <v>7</v>
      </c>
      <c r="H5" s="138" t="s">
        <v>8</v>
      </c>
      <c r="I5" s="135" t="s">
        <v>9</v>
      </c>
      <c r="J5" s="351" t="s">
        <v>3</v>
      </c>
      <c r="K5" s="135" t="s">
        <v>10</v>
      </c>
      <c r="L5" s="139" t="s">
        <v>11</v>
      </c>
      <c r="M5" s="138" t="s">
        <v>54</v>
      </c>
      <c r="N5" s="135" t="s">
        <v>55</v>
      </c>
      <c r="O5" s="135" t="s">
        <v>56</v>
      </c>
      <c r="P5" s="139" t="s">
        <v>57</v>
      </c>
      <c r="Q5" s="138" t="s">
        <v>63</v>
      </c>
      <c r="R5" s="135" t="s">
        <v>64</v>
      </c>
      <c r="S5" s="135" t="s">
        <v>65</v>
      </c>
      <c r="T5" s="139" t="s">
        <v>66</v>
      </c>
      <c r="U5" s="164" t="s">
        <v>71</v>
      </c>
    </row>
    <row r="6" spans="1:21" s="13" customFormat="1" ht="30" customHeight="1">
      <c r="A6" s="141" t="s">
        <v>12</v>
      </c>
      <c r="B6" s="19" t="s">
        <v>13</v>
      </c>
      <c r="C6" s="352"/>
      <c r="D6" s="20">
        <f>D7+D8+D9+D10</f>
        <v>91408.456000000006</v>
      </c>
      <c r="E6" s="20">
        <f>SUM(E7:E10)</f>
        <v>91408.456000000006</v>
      </c>
      <c r="F6" s="20">
        <f>SUM(F7:F10)</f>
        <v>91408.456000000006</v>
      </c>
      <c r="G6" s="20">
        <f t="shared" ref="G6:T6" si="0">SUM(G7:G10)</f>
        <v>274225.36799999996</v>
      </c>
      <c r="H6" s="20">
        <f>SUM(H7:H10)</f>
        <v>91408.456000000006</v>
      </c>
      <c r="I6" s="20">
        <f>SUM(I7:I10)</f>
        <v>91408.456000000006</v>
      </c>
      <c r="J6" s="352"/>
      <c r="K6" s="20">
        <f>SUM(K7:K10)</f>
        <v>104072.09600000001</v>
      </c>
      <c r="L6" s="20">
        <f t="shared" si="0"/>
        <v>286904.88800000004</v>
      </c>
      <c r="M6" s="20">
        <f>SUM(M7:M10)</f>
        <v>104072.09600000001</v>
      </c>
      <c r="N6" s="20">
        <f>SUM(N7:N10)</f>
        <v>104072.09600000001</v>
      </c>
      <c r="O6" s="20">
        <f>SUM(O7:O10)</f>
        <v>104072.09600000001</v>
      </c>
      <c r="P6" s="20">
        <f t="shared" si="0"/>
        <v>312216.28799999994</v>
      </c>
      <c r="Q6" s="20">
        <f>SUM(Q7:Q10)</f>
        <v>91408.456000000006</v>
      </c>
      <c r="R6" s="20">
        <f>SUM(R7:R10)</f>
        <v>104072.09600000001</v>
      </c>
      <c r="S6" s="20">
        <f>SUM(S7:S10)</f>
        <v>104072.09600000001</v>
      </c>
      <c r="T6" s="20">
        <f t="shared" si="0"/>
        <v>299552.64799999999</v>
      </c>
      <c r="U6" s="142">
        <f t="shared" ref="U6:U12" si="1">G6+L6+P6+T6</f>
        <v>1172899.192</v>
      </c>
    </row>
    <row r="7" spans="1:21" s="13" customFormat="1">
      <c r="A7" s="143" t="s">
        <v>14</v>
      </c>
      <c r="B7" s="15" t="s">
        <v>15</v>
      </c>
      <c r="C7" s="353">
        <v>12.66</v>
      </c>
      <c r="D7" s="25">
        <f>C7*$K$4</f>
        <v>72873.491999999998</v>
      </c>
      <c r="E7" s="25">
        <f>C7*$K$4</f>
        <v>72873.491999999998</v>
      </c>
      <c r="F7" s="25">
        <f>C7*$K$4</f>
        <v>72873.491999999998</v>
      </c>
      <c r="G7" s="20">
        <f>SUM(D7:F7)</f>
        <v>218620.476</v>
      </c>
      <c r="H7" s="25">
        <f>C7*$K$4</f>
        <v>72873.491999999998</v>
      </c>
      <c r="I7" s="25">
        <f>C7*$K$4</f>
        <v>72873.491999999998</v>
      </c>
      <c r="J7" s="353">
        <v>12.66</v>
      </c>
      <c r="K7" s="25">
        <f>C7*$K$4</f>
        <v>72873.491999999998</v>
      </c>
      <c r="L7" s="22">
        <f>SUM(H7:K7)</f>
        <v>218633.136</v>
      </c>
      <c r="M7" s="25">
        <f>C7*$K$4</f>
        <v>72873.491999999998</v>
      </c>
      <c r="N7" s="25">
        <f>C7*$K$4</f>
        <v>72873.491999999998</v>
      </c>
      <c r="O7" s="25">
        <f>C7*$K$4</f>
        <v>72873.491999999998</v>
      </c>
      <c r="P7" s="22">
        <f>SUM(M7:O7)</f>
        <v>218620.476</v>
      </c>
      <c r="Q7" s="25">
        <f>C7*$K$4</f>
        <v>72873.491999999998</v>
      </c>
      <c r="R7" s="25">
        <f>C7*$K$4</f>
        <v>72873.491999999998</v>
      </c>
      <c r="S7" s="25">
        <f>C7*$K$4</f>
        <v>72873.491999999998</v>
      </c>
      <c r="T7" s="22">
        <f>SUM(Q7:S7)</f>
        <v>218620.476</v>
      </c>
      <c r="U7" s="165">
        <f t="shared" si="1"/>
        <v>874494.56400000001</v>
      </c>
    </row>
    <row r="8" spans="1:21" s="13" customFormat="1">
      <c r="A8" s="143" t="s">
        <v>16</v>
      </c>
      <c r="B8" s="15" t="s">
        <v>17</v>
      </c>
      <c r="C8" s="353">
        <v>2.8</v>
      </c>
      <c r="D8" s="25">
        <f t="shared" ref="D8:D10" si="2">C8*$K$4</f>
        <v>16117.359999999999</v>
      </c>
      <c r="E8" s="25">
        <f>C8*K4</f>
        <v>16117.359999999999</v>
      </c>
      <c r="F8" s="25">
        <f>C8*K4</f>
        <v>16117.359999999999</v>
      </c>
      <c r="G8" s="20">
        <f t="shared" ref="G8:G10" si="3">SUM(D8:F8)</f>
        <v>48352.079999999994</v>
      </c>
      <c r="H8" s="25">
        <f>C8*K4</f>
        <v>16117.359999999999</v>
      </c>
      <c r="I8" s="25">
        <f>C8*K4</f>
        <v>16117.359999999999</v>
      </c>
      <c r="J8" s="353">
        <v>2.8</v>
      </c>
      <c r="K8" s="25">
        <f>C8*K4</f>
        <v>16117.359999999999</v>
      </c>
      <c r="L8" s="22">
        <f t="shared" ref="L8:L10" si="4">SUM(H8:K8)</f>
        <v>48354.879999999997</v>
      </c>
      <c r="M8" s="25">
        <f>C8*K4</f>
        <v>16117.359999999999</v>
      </c>
      <c r="N8" s="25">
        <f>C8*K4</f>
        <v>16117.359999999999</v>
      </c>
      <c r="O8" s="25">
        <f>C8*K4</f>
        <v>16117.359999999999</v>
      </c>
      <c r="P8" s="22">
        <f t="shared" ref="P8:P10" si="5">SUM(M8:O8)</f>
        <v>48352.079999999994</v>
      </c>
      <c r="Q8" s="25">
        <f>C8*K4</f>
        <v>16117.359999999999</v>
      </c>
      <c r="R8" s="25">
        <f>C8*K4</f>
        <v>16117.359999999999</v>
      </c>
      <c r="S8" s="25">
        <f>C8*K4</f>
        <v>16117.359999999999</v>
      </c>
      <c r="T8" s="22">
        <f t="shared" ref="T8:T9" si="6">SUM(Q8:S8)</f>
        <v>48352.079999999994</v>
      </c>
      <c r="U8" s="165">
        <f t="shared" si="1"/>
        <v>193411.11999999997</v>
      </c>
    </row>
    <row r="9" spans="1:21" s="13" customFormat="1">
      <c r="A9" s="143" t="s">
        <v>18</v>
      </c>
      <c r="B9" s="15" t="s">
        <v>30</v>
      </c>
      <c r="C9" s="353">
        <v>0</v>
      </c>
      <c r="D9" s="25">
        <v>0</v>
      </c>
      <c r="E9" s="25">
        <v>0</v>
      </c>
      <c r="F9" s="25">
        <v>0</v>
      </c>
      <c r="G9" s="20">
        <f t="shared" si="3"/>
        <v>0</v>
      </c>
      <c r="H9" s="25">
        <v>0</v>
      </c>
      <c r="I9" s="25">
        <v>0</v>
      </c>
      <c r="J9" s="353">
        <v>2.2000000000000002</v>
      </c>
      <c r="K9" s="25">
        <f>J9*K4</f>
        <v>12663.640000000001</v>
      </c>
      <c r="L9" s="22">
        <f>K9+I9+H9</f>
        <v>12663.640000000001</v>
      </c>
      <c r="M9" s="25">
        <f>J9*K4</f>
        <v>12663.640000000001</v>
      </c>
      <c r="N9" s="25">
        <f>J9*K4</f>
        <v>12663.640000000001</v>
      </c>
      <c r="O9" s="25">
        <f>J9*K4</f>
        <v>12663.640000000001</v>
      </c>
      <c r="P9" s="22">
        <f>O9+N9+M9</f>
        <v>37990.920000000006</v>
      </c>
      <c r="Q9" s="358">
        <v>0</v>
      </c>
      <c r="R9" s="25">
        <f>J9*K4</f>
        <v>12663.640000000001</v>
      </c>
      <c r="S9" s="25">
        <f>J9*K4</f>
        <v>12663.640000000001</v>
      </c>
      <c r="T9" s="22">
        <f t="shared" si="6"/>
        <v>25327.280000000002</v>
      </c>
      <c r="U9" s="165">
        <f t="shared" si="1"/>
        <v>75981.840000000011</v>
      </c>
    </row>
    <row r="10" spans="1:21" s="13" customFormat="1" ht="15.75" thickBot="1">
      <c r="A10" s="146" t="s">
        <v>102</v>
      </c>
      <c r="B10" s="33" t="s">
        <v>19</v>
      </c>
      <c r="C10" s="354">
        <v>0.42</v>
      </c>
      <c r="D10" s="34">
        <f t="shared" si="2"/>
        <v>2417.6039999999998</v>
      </c>
      <c r="E10" s="34">
        <f t="shared" ref="E10" si="7">C10*$K$4</f>
        <v>2417.6039999999998</v>
      </c>
      <c r="F10" s="34">
        <f t="shared" ref="F10" si="8">C10*$K$4</f>
        <v>2417.6039999999998</v>
      </c>
      <c r="G10" s="66">
        <f t="shared" si="3"/>
        <v>7252.8119999999999</v>
      </c>
      <c r="H10" s="34">
        <f t="shared" ref="H10" si="9">C10*$K$4</f>
        <v>2417.6039999999998</v>
      </c>
      <c r="I10" s="34">
        <f t="shared" ref="I10" si="10">C10*$K$4</f>
        <v>2417.6039999999998</v>
      </c>
      <c r="J10" s="354">
        <v>0.42</v>
      </c>
      <c r="K10" s="34">
        <f t="shared" ref="K10" si="11">C10*$K$4</f>
        <v>2417.6039999999998</v>
      </c>
      <c r="L10" s="84">
        <f t="shared" si="4"/>
        <v>7253.232</v>
      </c>
      <c r="M10" s="34">
        <f t="shared" ref="M10" si="12">C10*$K$4</f>
        <v>2417.6039999999998</v>
      </c>
      <c r="N10" s="34">
        <f t="shared" ref="N10" si="13">C10*$K$4</f>
        <v>2417.6039999999998</v>
      </c>
      <c r="O10" s="34">
        <f t="shared" ref="O10" si="14">C10*$K$4</f>
        <v>2417.6039999999998</v>
      </c>
      <c r="P10" s="84">
        <f t="shared" si="5"/>
        <v>7252.8119999999999</v>
      </c>
      <c r="Q10" s="34">
        <f t="shared" ref="Q10" si="15">C10*$K$4</f>
        <v>2417.6039999999998</v>
      </c>
      <c r="R10" s="34">
        <f t="shared" ref="R10" si="16">C10*$K$4</f>
        <v>2417.6039999999998</v>
      </c>
      <c r="S10" s="34">
        <f t="shared" ref="S10" si="17">C10*$K$4</f>
        <v>2417.6039999999998</v>
      </c>
      <c r="T10" s="84">
        <f>SUM(Q10:S10)</f>
        <v>7252.8119999999999</v>
      </c>
      <c r="U10" s="167">
        <f t="shared" si="1"/>
        <v>29011.667999999998</v>
      </c>
    </row>
    <row r="11" spans="1:21" s="13" customFormat="1" ht="15.75" thickBot="1">
      <c r="A11" s="36" t="s">
        <v>32</v>
      </c>
      <c r="B11" s="37" t="s">
        <v>20</v>
      </c>
      <c r="C11" s="355"/>
      <c r="D11" s="38">
        <v>68382.05</v>
      </c>
      <c r="E11" s="38">
        <v>87097.919999999998</v>
      </c>
      <c r="F11" s="38">
        <v>69595.179999999993</v>
      </c>
      <c r="G11" s="119">
        <f>D11+E11+F11+F12+F13</f>
        <v>231075.15</v>
      </c>
      <c r="H11" s="40">
        <v>74655.86</v>
      </c>
      <c r="I11" s="38">
        <v>46211.26</v>
      </c>
      <c r="J11" s="355"/>
      <c r="K11" s="38">
        <v>127004.95</v>
      </c>
      <c r="L11" s="68">
        <f>H11+I11+K11+K12+K13</f>
        <v>266429.57</v>
      </c>
      <c r="M11" s="40">
        <v>81996.22</v>
      </c>
      <c r="N11" s="38">
        <v>95695.99</v>
      </c>
      <c r="O11" s="38">
        <v>119131.61</v>
      </c>
      <c r="P11" s="68">
        <f>M11+N11+O11+O12+O13</f>
        <v>300313.32</v>
      </c>
      <c r="Q11" s="40">
        <v>92969.88</v>
      </c>
      <c r="R11" s="38">
        <v>86040.639999999999</v>
      </c>
      <c r="S11" s="38">
        <v>90156.92</v>
      </c>
      <c r="T11" s="68">
        <f>SUM(Q11:S11)+S12+S13</f>
        <v>285674.14</v>
      </c>
      <c r="U11" s="171">
        <f t="shared" si="1"/>
        <v>1083492.1800000002</v>
      </c>
    </row>
    <row r="12" spans="1:21" s="13" customFormat="1">
      <c r="A12" s="148"/>
      <c r="B12" s="45" t="s">
        <v>38</v>
      </c>
      <c r="C12" s="356"/>
      <c r="D12" s="46"/>
      <c r="E12" s="46"/>
      <c r="F12" s="232">
        <v>6000</v>
      </c>
      <c r="G12" s="98"/>
      <c r="H12" s="76"/>
      <c r="I12" s="46"/>
      <c r="J12" s="356"/>
      <c r="K12" s="232">
        <f>4005.5+7952</f>
        <v>11957.5</v>
      </c>
      <c r="L12" s="85"/>
      <c r="M12" s="76"/>
      <c r="N12" s="46"/>
      <c r="O12" s="232">
        <f>2489.5+1000</f>
        <v>3489.5</v>
      </c>
      <c r="P12" s="85"/>
      <c r="Q12" s="76"/>
      <c r="R12" s="46"/>
      <c r="S12" s="232">
        <f>2490+5616.7</f>
        <v>8106.7</v>
      </c>
      <c r="T12" s="85"/>
      <c r="U12" s="168">
        <f t="shared" si="1"/>
        <v>0</v>
      </c>
    </row>
    <row r="13" spans="1:21" s="13" customFormat="1">
      <c r="A13" s="143"/>
      <c r="B13" s="15" t="s">
        <v>72</v>
      </c>
      <c r="C13" s="353"/>
      <c r="D13" s="25"/>
      <c r="E13" s="25"/>
      <c r="F13" s="25"/>
      <c r="G13" s="20"/>
      <c r="H13" s="28"/>
      <c r="I13" s="25"/>
      <c r="J13" s="353"/>
      <c r="K13" s="29">
        <v>6600</v>
      </c>
      <c r="L13" s="22"/>
      <c r="M13" s="28"/>
      <c r="N13" s="25"/>
      <c r="O13" s="25"/>
      <c r="P13" s="22"/>
      <c r="Q13" s="28"/>
      <c r="R13" s="25"/>
      <c r="S13" s="29">
        <f>6600+1800</f>
        <v>8400</v>
      </c>
      <c r="T13" s="22"/>
      <c r="U13" s="165"/>
    </row>
    <row r="14" spans="1:21" s="13" customFormat="1">
      <c r="A14" s="143"/>
      <c r="B14" s="15" t="s">
        <v>21</v>
      </c>
      <c r="C14" s="353"/>
      <c r="D14" s="25">
        <f t="shared" ref="D14:T14" si="18">D11-D6</f>
        <v>-23026.406000000003</v>
      </c>
      <c r="E14" s="25">
        <f t="shared" si="18"/>
        <v>-4310.5360000000073</v>
      </c>
      <c r="F14" s="25">
        <f t="shared" si="18"/>
        <v>-21813.276000000013</v>
      </c>
      <c r="G14" s="22">
        <f t="shared" si="18"/>
        <v>-43150.217999999964</v>
      </c>
      <c r="H14" s="28">
        <f t="shared" si="18"/>
        <v>-16752.596000000005</v>
      </c>
      <c r="I14" s="25">
        <f t="shared" si="18"/>
        <v>-45197.196000000004</v>
      </c>
      <c r="J14" s="353"/>
      <c r="K14" s="25">
        <f t="shared" si="18"/>
        <v>22932.853999999992</v>
      </c>
      <c r="L14" s="22">
        <f t="shared" si="18"/>
        <v>-20475.318000000028</v>
      </c>
      <c r="M14" s="28">
        <f t="shared" si="18"/>
        <v>-22075.876000000004</v>
      </c>
      <c r="N14" s="25">
        <f t="shared" si="18"/>
        <v>-8376.1059999999998</v>
      </c>
      <c r="O14" s="25">
        <f t="shared" si="18"/>
        <v>15059.513999999996</v>
      </c>
      <c r="P14" s="22">
        <f t="shared" si="18"/>
        <v>-11902.967999999935</v>
      </c>
      <c r="Q14" s="28">
        <f t="shared" si="18"/>
        <v>1561.4239999999991</v>
      </c>
      <c r="R14" s="25">
        <f t="shared" si="18"/>
        <v>-18031.456000000006</v>
      </c>
      <c r="S14" s="25">
        <f t="shared" si="18"/>
        <v>-13915.176000000007</v>
      </c>
      <c r="T14" s="22">
        <f t="shared" si="18"/>
        <v>-13878.507999999973</v>
      </c>
      <c r="U14" s="165">
        <f t="shared" ref="U14:U32" si="19">G14+L14+P14+T14</f>
        <v>-89407.011999999901</v>
      </c>
    </row>
    <row r="15" spans="1:21" s="13" customFormat="1" ht="31.5" customHeight="1">
      <c r="A15" s="141" t="s">
        <v>22</v>
      </c>
      <c r="B15" s="19" t="s">
        <v>23</v>
      </c>
      <c r="C15" s="353"/>
      <c r="D15" s="22">
        <f>SUM(D16:D24)</f>
        <v>73928.941999999995</v>
      </c>
      <c r="E15" s="22">
        <f>SUM(E16:E24)</f>
        <v>66789.941999999995</v>
      </c>
      <c r="F15" s="22">
        <f>F16+F17+F18+F19+F20+F21+F22+F23+F24</f>
        <v>83915.702000000005</v>
      </c>
      <c r="G15" s="20">
        <f>SUM(D15:F15)</f>
        <v>224634.58600000001</v>
      </c>
      <c r="H15" s="22">
        <f>SUM(H16:H24)</f>
        <v>126256.94200000001</v>
      </c>
      <c r="I15" s="22">
        <f>SUM(I16:I24)</f>
        <v>65606.941999999995</v>
      </c>
      <c r="J15" s="353"/>
      <c r="K15" s="22">
        <f>SUM(K16:K24)</f>
        <v>108533.38200000001</v>
      </c>
      <c r="L15" s="20">
        <f>SUM(H15:K15)</f>
        <v>300397.26600000006</v>
      </c>
      <c r="M15" s="22">
        <f>SUM(M16:M24)</f>
        <v>190680.58199999999</v>
      </c>
      <c r="N15" s="22">
        <f>SUM(N16:N24)</f>
        <v>109792.58200000001</v>
      </c>
      <c r="O15" s="22">
        <f>SUM(O16:O24)</f>
        <v>116150.58200000001</v>
      </c>
      <c r="P15" s="20">
        <f>SUM(M15:O15)</f>
        <v>416623.74599999998</v>
      </c>
      <c r="Q15" s="22">
        <f>SUM(Q16:Q24)</f>
        <v>106247.94200000001</v>
      </c>
      <c r="R15" s="22">
        <f>SUM(R16:R24)</f>
        <v>85354.582000000009</v>
      </c>
      <c r="S15" s="22">
        <f>SUM(S16:S24)</f>
        <v>79355.582000000009</v>
      </c>
      <c r="T15" s="20">
        <f>SUM(Q15:S15)</f>
        <v>270958.10600000003</v>
      </c>
      <c r="U15" s="142">
        <f t="shared" si="19"/>
        <v>1212613.7039999999</v>
      </c>
    </row>
    <row r="16" spans="1:21" s="13" customFormat="1">
      <c r="A16" s="143" t="s">
        <v>24</v>
      </c>
      <c r="B16" s="15" t="s">
        <v>17</v>
      </c>
      <c r="C16" s="353">
        <v>2.8</v>
      </c>
      <c r="D16" s="25">
        <f t="shared" ref="D16:D22" si="20">C16*$K$4</f>
        <v>16117.359999999999</v>
      </c>
      <c r="E16" s="25">
        <f>C16*K4</f>
        <v>16117.359999999999</v>
      </c>
      <c r="F16" s="25">
        <f>C16*K4</f>
        <v>16117.359999999999</v>
      </c>
      <c r="G16" s="20">
        <f>SUM(D16:F16)</f>
        <v>48352.079999999994</v>
      </c>
      <c r="H16" s="25">
        <f>C16*K4</f>
        <v>16117.359999999999</v>
      </c>
      <c r="I16" s="25">
        <f>C16*K4</f>
        <v>16117.359999999999</v>
      </c>
      <c r="J16" s="353">
        <v>2.8</v>
      </c>
      <c r="K16" s="25">
        <f>C16*K4</f>
        <v>16117.359999999999</v>
      </c>
      <c r="L16" s="20">
        <f>SUM(H16:K16)</f>
        <v>48354.879999999997</v>
      </c>
      <c r="M16" s="25">
        <f>C16*K4</f>
        <v>16117.359999999999</v>
      </c>
      <c r="N16" s="25">
        <f>C16*K4</f>
        <v>16117.359999999999</v>
      </c>
      <c r="O16" s="25">
        <f>C16*K4</f>
        <v>16117.359999999999</v>
      </c>
      <c r="P16" s="20">
        <f>SUM(M16:O16)</f>
        <v>48352.079999999994</v>
      </c>
      <c r="Q16" s="25">
        <f>C16*K4</f>
        <v>16117.359999999999</v>
      </c>
      <c r="R16" s="25">
        <f>C16*K4</f>
        <v>16117.359999999999</v>
      </c>
      <c r="S16" s="25">
        <f>C16*K4</f>
        <v>16117.359999999999</v>
      </c>
      <c r="T16" s="20">
        <f>SUM(Q16:S16)</f>
        <v>48352.079999999994</v>
      </c>
      <c r="U16" s="165">
        <f t="shared" si="19"/>
        <v>193411.11999999997</v>
      </c>
    </row>
    <row r="17" spans="1:22" s="13" customFormat="1">
      <c r="A17" s="143" t="s">
        <v>25</v>
      </c>
      <c r="B17" s="15" t="s">
        <v>26</v>
      </c>
      <c r="C17" s="353">
        <v>3.99</v>
      </c>
      <c r="D17" s="25">
        <f>C17*K4</f>
        <v>22967.238000000001</v>
      </c>
      <c r="E17" s="25">
        <f t="shared" ref="E17:E22" si="21">C17*$K$4</f>
        <v>22967.238000000001</v>
      </c>
      <c r="F17" s="25">
        <f t="shared" ref="F17:F22" si="22">C17*$K$4</f>
        <v>22967.238000000001</v>
      </c>
      <c r="G17" s="20">
        <f t="shared" ref="G17:G31" si="23">SUM(D17:F17)</f>
        <v>68901.714000000007</v>
      </c>
      <c r="H17" s="25">
        <f t="shared" ref="H17" si="24">C17*$K$4</f>
        <v>22967.238000000001</v>
      </c>
      <c r="I17" s="25">
        <f>C17*$K$4</f>
        <v>22967.238000000001</v>
      </c>
      <c r="J17" s="353">
        <v>3.99</v>
      </c>
      <c r="K17" s="25">
        <f t="shared" ref="K17:K22" si="25">C17*$K$4</f>
        <v>22967.238000000001</v>
      </c>
      <c r="L17" s="20">
        <f>SUM(H17:K17)</f>
        <v>68905.703999999998</v>
      </c>
      <c r="M17" s="25">
        <f t="shared" ref="M17" si="26">C17*$K$4</f>
        <v>22967.238000000001</v>
      </c>
      <c r="N17" s="25">
        <f t="shared" ref="N17" si="27">C17*$K$4</f>
        <v>22967.238000000001</v>
      </c>
      <c r="O17" s="25">
        <f>N17</f>
        <v>22967.238000000001</v>
      </c>
      <c r="P17" s="20">
        <f>SUM(M17:O17)</f>
        <v>68901.714000000007</v>
      </c>
      <c r="Q17" s="25">
        <f>O17</f>
        <v>22967.238000000001</v>
      </c>
      <c r="R17" s="25">
        <f>Q17</f>
        <v>22967.238000000001</v>
      </c>
      <c r="S17" s="25">
        <f>R17</f>
        <v>22967.238000000001</v>
      </c>
      <c r="T17" s="20">
        <f>SUM(Q17:S17)</f>
        <v>68901.714000000007</v>
      </c>
      <c r="U17" s="165">
        <f t="shared" si="19"/>
        <v>275610.84600000002</v>
      </c>
    </row>
    <row r="18" spans="1:22" s="13" customFormat="1" ht="15.75" thickBot="1">
      <c r="A18" s="146" t="s">
        <v>27</v>
      </c>
      <c r="B18" s="33" t="s">
        <v>30</v>
      </c>
      <c r="C18" s="354">
        <v>0</v>
      </c>
      <c r="D18" s="34">
        <v>0</v>
      </c>
      <c r="E18" s="34">
        <v>0</v>
      </c>
      <c r="F18" s="34">
        <v>0</v>
      </c>
      <c r="G18" s="66">
        <f t="shared" si="23"/>
        <v>0</v>
      </c>
      <c r="H18" s="34">
        <v>0</v>
      </c>
      <c r="I18" s="34">
        <v>0</v>
      </c>
      <c r="J18" s="354">
        <v>2.2000000000000002</v>
      </c>
      <c r="K18" s="34">
        <f>J18*K4</f>
        <v>12663.640000000001</v>
      </c>
      <c r="L18" s="66">
        <f>K18+I18+H18</f>
        <v>12663.640000000001</v>
      </c>
      <c r="M18" s="34">
        <f>J18*K4</f>
        <v>12663.640000000001</v>
      </c>
      <c r="N18" s="34">
        <f>J18*K4</f>
        <v>12663.640000000001</v>
      </c>
      <c r="O18" s="34">
        <f>J18*K4</f>
        <v>12663.640000000001</v>
      </c>
      <c r="P18" s="66">
        <f t="shared" ref="P18:P31" si="28">SUM(M18:O18)</f>
        <v>37990.920000000006</v>
      </c>
      <c r="Q18" s="359">
        <v>0</v>
      </c>
      <c r="R18" s="34">
        <f>J18*K4</f>
        <v>12663.640000000001</v>
      </c>
      <c r="S18" s="34">
        <f>J18*K4</f>
        <v>12663.640000000001</v>
      </c>
      <c r="T18" s="66">
        <f t="shared" ref="T18:T31" si="29">SUM(Q18:S18)</f>
        <v>25327.280000000002</v>
      </c>
      <c r="U18" s="167">
        <f t="shared" si="19"/>
        <v>75981.840000000011</v>
      </c>
    </row>
    <row r="19" spans="1:22" s="13" customFormat="1" ht="18.75" customHeight="1" thickBot="1">
      <c r="A19" s="130" t="s">
        <v>28</v>
      </c>
      <c r="B19" s="131" t="s">
        <v>40</v>
      </c>
      <c r="C19" s="355"/>
      <c r="D19" s="38">
        <v>16885</v>
      </c>
      <c r="E19" s="38">
        <v>9746</v>
      </c>
      <c r="F19" s="38">
        <v>24190</v>
      </c>
      <c r="G19" s="119">
        <f t="shared" si="23"/>
        <v>50821</v>
      </c>
      <c r="H19" s="40">
        <v>69213</v>
      </c>
      <c r="I19" s="38">
        <v>8563</v>
      </c>
      <c r="J19" s="355"/>
      <c r="K19" s="38">
        <v>36289</v>
      </c>
      <c r="L19" s="119">
        <f t="shared" ref="L19:L31" si="30">SUM(H19:K19)</f>
        <v>114065</v>
      </c>
      <c r="M19" s="40">
        <v>120973</v>
      </c>
      <c r="N19" s="38">
        <v>40085</v>
      </c>
      <c r="O19" s="38">
        <v>46443</v>
      </c>
      <c r="P19" s="119">
        <f t="shared" si="28"/>
        <v>207501</v>
      </c>
      <c r="Q19" s="40">
        <v>49204</v>
      </c>
      <c r="R19" s="38">
        <v>15647</v>
      </c>
      <c r="S19" s="38">
        <v>9648</v>
      </c>
      <c r="T19" s="119">
        <f t="shared" si="29"/>
        <v>74499</v>
      </c>
      <c r="U19" s="171">
        <f t="shared" si="19"/>
        <v>446886</v>
      </c>
    </row>
    <row r="20" spans="1:22" s="13" customFormat="1">
      <c r="A20" s="148" t="s">
        <v>33</v>
      </c>
      <c r="B20" s="45" t="s">
        <v>39</v>
      </c>
      <c r="C20" s="356">
        <v>1</v>
      </c>
      <c r="D20" s="46">
        <f t="shared" si="20"/>
        <v>5756.2</v>
      </c>
      <c r="E20" s="46">
        <f t="shared" si="21"/>
        <v>5756.2</v>
      </c>
      <c r="F20" s="46">
        <f t="shared" si="22"/>
        <v>5756.2</v>
      </c>
      <c r="G20" s="98">
        <f t="shared" si="23"/>
        <v>17268.599999999999</v>
      </c>
      <c r="H20" s="46">
        <f t="shared" ref="H20:H22" si="31">C20*$K$4</f>
        <v>5756.2</v>
      </c>
      <c r="I20" s="75">
        <f t="shared" ref="I20:I21" si="32">C20*$K$4</f>
        <v>5756.2</v>
      </c>
      <c r="J20" s="356">
        <v>1</v>
      </c>
      <c r="K20" s="75">
        <f t="shared" si="25"/>
        <v>5756.2</v>
      </c>
      <c r="L20" s="124">
        <f t="shared" si="30"/>
        <v>17269.599999999999</v>
      </c>
      <c r="M20" s="46">
        <f t="shared" ref="M20:M22" si="33">C20*$K$4</f>
        <v>5756.2</v>
      </c>
      <c r="N20" s="46">
        <f t="shared" ref="N20:N22" si="34">C20*$K$4</f>
        <v>5756.2</v>
      </c>
      <c r="O20" s="46">
        <f>N20</f>
        <v>5756.2</v>
      </c>
      <c r="P20" s="124">
        <f t="shared" si="28"/>
        <v>17268.599999999999</v>
      </c>
      <c r="Q20" s="46">
        <f>O20</f>
        <v>5756.2</v>
      </c>
      <c r="R20" s="46">
        <f>Q20</f>
        <v>5756.2</v>
      </c>
      <c r="S20" s="46">
        <f>R20</f>
        <v>5756.2</v>
      </c>
      <c r="T20" s="124">
        <f t="shared" si="29"/>
        <v>17268.599999999999</v>
      </c>
      <c r="U20" s="168">
        <f t="shared" si="19"/>
        <v>69075.399999999994</v>
      </c>
    </row>
    <row r="21" spans="1:22" s="13" customFormat="1">
      <c r="A21" s="143" t="s">
        <v>34</v>
      </c>
      <c r="B21" s="15" t="s">
        <v>41</v>
      </c>
      <c r="C21" s="353">
        <v>0.2</v>
      </c>
      <c r="D21" s="25">
        <f t="shared" si="20"/>
        <v>1151.24</v>
      </c>
      <c r="E21" s="25">
        <f t="shared" si="21"/>
        <v>1151.24</v>
      </c>
      <c r="F21" s="25">
        <f t="shared" si="22"/>
        <v>1151.24</v>
      </c>
      <c r="G21" s="20">
        <f t="shared" si="23"/>
        <v>3453.7200000000003</v>
      </c>
      <c r="H21" s="25">
        <f t="shared" si="31"/>
        <v>1151.24</v>
      </c>
      <c r="I21" s="34">
        <f t="shared" si="32"/>
        <v>1151.24</v>
      </c>
      <c r="J21" s="353">
        <v>0.2</v>
      </c>
      <c r="K21" s="34">
        <f t="shared" si="25"/>
        <v>1151.24</v>
      </c>
      <c r="L21" s="66">
        <f t="shared" si="30"/>
        <v>3453.92</v>
      </c>
      <c r="M21" s="25">
        <f t="shared" si="33"/>
        <v>1151.24</v>
      </c>
      <c r="N21" s="25">
        <f t="shared" si="34"/>
        <v>1151.24</v>
      </c>
      <c r="O21" s="25">
        <f t="shared" ref="O21:O22" si="35">C21*$K$4</f>
        <v>1151.24</v>
      </c>
      <c r="P21" s="66">
        <f t="shared" si="28"/>
        <v>3453.7200000000003</v>
      </c>
      <c r="Q21" s="25">
        <f t="shared" ref="Q21:Q22" si="36">C21*$K$4</f>
        <v>1151.24</v>
      </c>
      <c r="R21" s="25">
        <f t="shared" ref="R21:R22" si="37">C21*$K$4</f>
        <v>1151.24</v>
      </c>
      <c r="S21" s="25">
        <f t="shared" ref="S21:S22" si="38">C21*$K$4</f>
        <v>1151.24</v>
      </c>
      <c r="T21" s="66">
        <f t="shared" si="29"/>
        <v>3453.7200000000003</v>
      </c>
      <c r="U21" s="165">
        <f t="shared" si="19"/>
        <v>13815.080000000002</v>
      </c>
    </row>
    <row r="22" spans="1:22" s="13" customFormat="1">
      <c r="A22" s="143" t="s">
        <v>35</v>
      </c>
      <c r="B22" s="15" t="s">
        <v>29</v>
      </c>
      <c r="C22" s="353">
        <v>0.42</v>
      </c>
      <c r="D22" s="25">
        <f t="shared" si="20"/>
        <v>2417.6039999999998</v>
      </c>
      <c r="E22" s="25">
        <f t="shared" si="21"/>
        <v>2417.6039999999998</v>
      </c>
      <c r="F22" s="25">
        <f t="shared" si="22"/>
        <v>2417.6039999999998</v>
      </c>
      <c r="G22" s="20">
        <f t="shared" si="23"/>
        <v>7252.8119999999999</v>
      </c>
      <c r="H22" s="25">
        <f t="shared" si="31"/>
        <v>2417.6039999999998</v>
      </c>
      <c r="I22" s="25">
        <f t="shared" ref="I22" si="39">C22*$K$4</f>
        <v>2417.6039999999998</v>
      </c>
      <c r="J22" s="353">
        <v>0.42</v>
      </c>
      <c r="K22" s="25">
        <f t="shared" si="25"/>
        <v>2417.6039999999998</v>
      </c>
      <c r="L22" s="66">
        <f t="shared" si="30"/>
        <v>7253.232</v>
      </c>
      <c r="M22" s="25">
        <f t="shared" si="33"/>
        <v>2417.6039999999998</v>
      </c>
      <c r="N22" s="25">
        <f t="shared" si="34"/>
        <v>2417.6039999999998</v>
      </c>
      <c r="O22" s="25">
        <f t="shared" si="35"/>
        <v>2417.6039999999998</v>
      </c>
      <c r="P22" s="66">
        <f t="shared" si="28"/>
        <v>7252.8119999999999</v>
      </c>
      <c r="Q22" s="25">
        <f t="shared" si="36"/>
        <v>2417.6039999999998</v>
      </c>
      <c r="R22" s="25">
        <f t="shared" si="37"/>
        <v>2417.6039999999998</v>
      </c>
      <c r="S22" s="25">
        <f t="shared" si="38"/>
        <v>2417.6039999999998</v>
      </c>
      <c r="T22" s="66">
        <f t="shared" si="29"/>
        <v>7252.8119999999999</v>
      </c>
      <c r="U22" s="165">
        <f t="shared" si="19"/>
        <v>29011.667999999998</v>
      </c>
    </row>
    <row r="23" spans="1:22" s="13" customFormat="1">
      <c r="A23" s="143" t="s">
        <v>124</v>
      </c>
      <c r="B23" s="15" t="s">
        <v>123</v>
      </c>
      <c r="C23" s="353">
        <v>1.5</v>
      </c>
      <c r="D23" s="25">
        <f>C23*K4</f>
        <v>8634.2999999999993</v>
      </c>
      <c r="E23" s="25">
        <f>D23</f>
        <v>8634.2999999999993</v>
      </c>
      <c r="F23" s="25">
        <f>E23</f>
        <v>8634.2999999999993</v>
      </c>
      <c r="G23" s="20">
        <f>SUM(D23:F23)</f>
        <v>25902.899999999998</v>
      </c>
      <c r="H23" s="25">
        <f>F23</f>
        <v>8634.2999999999993</v>
      </c>
      <c r="I23" s="25">
        <f>H23</f>
        <v>8634.2999999999993</v>
      </c>
      <c r="J23" s="353">
        <v>1.5</v>
      </c>
      <c r="K23" s="25">
        <f>I23</f>
        <v>8634.2999999999993</v>
      </c>
      <c r="L23" s="66">
        <f>SUM(H23:K23)</f>
        <v>25904.399999999998</v>
      </c>
      <c r="M23" s="25">
        <f>K23</f>
        <v>8634.2999999999993</v>
      </c>
      <c r="N23" s="25">
        <f>M23</f>
        <v>8634.2999999999993</v>
      </c>
      <c r="O23" s="25">
        <f>N23</f>
        <v>8634.2999999999993</v>
      </c>
      <c r="P23" s="66">
        <f>SUM(M23:O23)</f>
        <v>25902.899999999998</v>
      </c>
      <c r="Q23" s="25">
        <f>O23</f>
        <v>8634.2999999999993</v>
      </c>
      <c r="R23" s="25">
        <f>Q23</f>
        <v>8634.2999999999993</v>
      </c>
      <c r="S23" s="25">
        <f>R23</f>
        <v>8634.2999999999993</v>
      </c>
      <c r="T23" s="66">
        <f>SUM(Q23:S23)</f>
        <v>25902.899999999998</v>
      </c>
      <c r="U23" s="165">
        <f t="shared" si="19"/>
        <v>103613.09999999999</v>
      </c>
    </row>
    <row r="24" spans="1:22" s="13" customFormat="1">
      <c r="A24" s="143" t="s">
        <v>125</v>
      </c>
      <c r="B24" s="15" t="s">
        <v>84</v>
      </c>
      <c r="C24" s="353"/>
      <c r="D24" s="25">
        <f>SUM(D26:D31)</f>
        <v>0</v>
      </c>
      <c r="E24" s="25">
        <f>SUM(E26:E31)</f>
        <v>0</v>
      </c>
      <c r="F24" s="25">
        <f>SUM(F26:F31)</f>
        <v>2681.76</v>
      </c>
      <c r="G24" s="20">
        <f t="shared" si="23"/>
        <v>2681.76</v>
      </c>
      <c r="H24" s="25">
        <f>SUM(H26:H31)</f>
        <v>0</v>
      </c>
      <c r="I24" s="25">
        <f>SUM(I26:I31)</f>
        <v>0</v>
      </c>
      <c r="J24" s="353"/>
      <c r="K24" s="29">
        <f>SUM(K26:K31)</f>
        <v>2536.8000000000002</v>
      </c>
      <c r="L24" s="66">
        <f t="shared" si="30"/>
        <v>2536.8000000000002</v>
      </c>
      <c r="M24" s="25">
        <f>SUM(M26:M31)</f>
        <v>0</v>
      </c>
      <c r="N24" s="25">
        <f>SUM(N26:N31)</f>
        <v>0</v>
      </c>
      <c r="O24" s="25">
        <f>SUM(O26:O31)</f>
        <v>0</v>
      </c>
      <c r="P24" s="66">
        <f t="shared" si="28"/>
        <v>0</v>
      </c>
      <c r="Q24" s="25">
        <f>SUM(Q26:Q31)</f>
        <v>0</v>
      </c>
      <c r="R24" s="25">
        <f>SUM(R26:R31)</f>
        <v>0</v>
      </c>
      <c r="S24" s="25">
        <f>SUM(S26:S31)</f>
        <v>0</v>
      </c>
      <c r="T24" s="66">
        <f t="shared" si="29"/>
        <v>0</v>
      </c>
      <c r="U24" s="165">
        <f t="shared" si="19"/>
        <v>5218.5600000000004</v>
      </c>
    </row>
    <row r="25" spans="1:22" s="13" customFormat="1">
      <c r="A25" s="143"/>
      <c r="B25" s="15" t="s">
        <v>44</v>
      </c>
      <c r="C25" s="353"/>
      <c r="D25" s="25"/>
      <c r="E25" s="25"/>
      <c r="F25" s="25"/>
      <c r="G25" s="20">
        <f t="shared" si="23"/>
        <v>0</v>
      </c>
      <c r="H25" s="28"/>
      <c r="I25" s="25"/>
      <c r="J25" s="353"/>
      <c r="K25" s="25"/>
      <c r="L25" s="66">
        <f t="shared" si="30"/>
        <v>0</v>
      </c>
      <c r="M25" s="28"/>
      <c r="N25" s="25"/>
      <c r="O25" s="25"/>
      <c r="P25" s="66">
        <f t="shared" si="28"/>
        <v>0</v>
      </c>
      <c r="Q25" s="28"/>
      <c r="R25" s="25"/>
      <c r="S25" s="25"/>
      <c r="T25" s="66">
        <f t="shared" si="29"/>
        <v>0</v>
      </c>
      <c r="U25" s="165">
        <f t="shared" si="19"/>
        <v>0</v>
      </c>
    </row>
    <row r="26" spans="1:22" s="13" customFormat="1">
      <c r="A26" s="143"/>
      <c r="B26" s="15" t="s">
        <v>47</v>
      </c>
      <c r="C26" s="353"/>
      <c r="D26" s="25"/>
      <c r="E26" s="25"/>
      <c r="F26" s="25"/>
      <c r="G26" s="20">
        <f t="shared" si="23"/>
        <v>0</v>
      </c>
      <c r="H26" s="28"/>
      <c r="I26" s="25"/>
      <c r="J26" s="353"/>
      <c r="K26" s="25"/>
      <c r="L26" s="66">
        <f t="shared" si="30"/>
        <v>0</v>
      </c>
      <c r="M26" s="28"/>
      <c r="N26" s="25"/>
      <c r="O26" s="25"/>
      <c r="P26" s="66">
        <f t="shared" si="28"/>
        <v>0</v>
      </c>
      <c r="Q26" s="28"/>
      <c r="R26" s="25"/>
      <c r="S26" s="25"/>
      <c r="T26" s="66">
        <f t="shared" si="29"/>
        <v>0</v>
      </c>
      <c r="U26" s="165">
        <f t="shared" si="19"/>
        <v>0</v>
      </c>
    </row>
    <row r="27" spans="1:22" s="13" customFormat="1">
      <c r="A27" s="143"/>
      <c r="B27" s="15" t="s">
        <v>48</v>
      </c>
      <c r="C27" s="353"/>
      <c r="D27" s="25"/>
      <c r="E27" s="25"/>
      <c r="F27" s="25"/>
      <c r="G27" s="20">
        <f t="shared" si="23"/>
        <v>0</v>
      </c>
      <c r="H27" s="28"/>
      <c r="I27" s="25"/>
      <c r="J27" s="353"/>
      <c r="K27" s="25"/>
      <c r="L27" s="66">
        <f t="shared" si="30"/>
        <v>0</v>
      </c>
      <c r="M27" s="28"/>
      <c r="N27" s="25"/>
      <c r="O27" s="25"/>
      <c r="P27" s="66">
        <f t="shared" si="28"/>
        <v>0</v>
      </c>
      <c r="Q27" s="28"/>
      <c r="R27" s="25"/>
      <c r="S27" s="25"/>
      <c r="T27" s="66">
        <f t="shared" si="29"/>
        <v>0</v>
      </c>
      <c r="U27" s="165">
        <f t="shared" si="19"/>
        <v>0</v>
      </c>
    </row>
    <row r="28" spans="1:22" s="13" customFormat="1">
      <c r="A28" s="143"/>
      <c r="B28" s="15" t="s">
        <v>49</v>
      </c>
      <c r="C28" s="353"/>
      <c r="D28" s="25"/>
      <c r="E28" s="25"/>
      <c r="F28" s="25"/>
      <c r="G28" s="20">
        <f t="shared" si="23"/>
        <v>0</v>
      </c>
      <c r="H28" s="28"/>
      <c r="I28" s="25"/>
      <c r="J28" s="353"/>
      <c r="K28" s="25"/>
      <c r="L28" s="66">
        <f t="shared" si="30"/>
        <v>0</v>
      </c>
      <c r="M28" s="28"/>
      <c r="N28" s="25"/>
      <c r="O28" s="25"/>
      <c r="P28" s="66">
        <f t="shared" si="28"/>
        <v>0</v>
      </c>
      <c r="Q28" s="28"/>
      <c r="R28" s="25"/>
      <c r="S28" s="25"/>
      <c r="T28" s="66">
        <f t="shared" si="29"/>
        <v>0</v>
      </c>
      <c r="U28" s="165">
        <f t="shared" si="19"/>
        <v>0</v>
      </c>
    </row>
    <row r="29" spans="1:22" s="13" customFormat="1">
      <c r="A29" s="143"/>
      <c r="B29" s="15" t="s">
        <v>52</v>
      </c>
      <c r="C29" s="353"/>
      <c r="D29" s="25"/>
      <c r="E29" s="25"/>
      <c r="F29" s="25"/>
      <c r="G29" s="20">
        <f t="shared" si="23"/>
        <v>0</v>
      </c>
      <c r="H29" s="28"/>
      <c r="I29" s="25"/>
      <c r="J29" s="353"/>
      <c r="K29" s="25"/>
      <c r="L29" s="66">
        <f t="shared" si="30"/>
        <v>0</v>
      </c>
      <c r="M29" s="28"/>
      <c r="N29" s="25"/>
      <c r="O29" s="25"/>
      <c r="P29" s="66">
        <f t="shared" si="28"/>
        <v>0</v>
      </c>
      <c r="Q29" s="28"/>
      <c r="R29" s="25"/>
      <c r="S29" s="25"/>
      <c r="T29" s="66">
        <f t="shared" si="29"/>
        <v>0</v>
      </c>
      <c r="U29" s="165">
        <f t="shared" si="19"/>
        <v>0</v>
      </c>
    </row>
    <row r="30" spans="1:22" s="13" customFormat="1">
      <c r="A30" s="143"/>
      <c r="B30" s="15" t="s">
        <v>53</v>
      </c>
      <c r="C30" s="353"/>
      <c r="D30" s="25"/>
      <c r="E30" s="25"/>
      <c r="F30" s="29">
        <v>2681.76</v>
      </c>
      <c r="G30" s="20">
        <f t="shared" si="23"/>
        <v>2681.76</v>
      </c>
      <c r="H30" s="28"/>
      <c r="I30" s="25"/>
      <c r="J30" s="353"/>
      <c r="K30" s="29">
        <v>2536.8000000000002</v>
      </c>
      <c r="L30" s="66">
        <f t="shared" si="30"/>
        <v>2536.8000000000002</v>
      </c>
      <c r="M30" s="28"/>
      <c r="N30" s="25"/>
      <c r="O30" s="29"/>
      <c r="P30" s="66">
        <f t="shared" si="28"/>
        <v>0</v>
      </c>
      <c r="Q30" s="28"/>
      <c r="R30" s="25"/>
      <c r="S30" s="29"/>
      <c r="T30" s="66">
        <f t="shared" si="29"/>
        <v>0</v>
      </c>
      <c r="U30" s="165">
        <f t="shared" si="19"/>
        <v>5218.5600000000004</v>
      </c>
    </row>
    <row r="31" spans="1:22" s="13" customFormat="1">
      <c r="A31" s="143"/>
      <c r="B31" s="15" t="s">
        <v>83</v>
      </c>
      <c r="C31" s="353"/>
      <c r="D31" s="25"/>
      <c r="E31" s="25"/>
      <c r="F31" s="25"/>
      <c r="G31" s="20">
        <f t="shared" si="23"/>
        <v>0</v>
      </c>
      <c r="H31" s="28"/>
      <c r="I31" s="25"/>
      <c r="J31" s="353"/>
      <c r="K31" s="29"/>
      <c r="L31" s="66">
        <f t="shared" si="30"/>
        <v>0</v>
      </c>
      <c r="M31" s="28"/>
      <c r="N31" s="25"/>
      <c r="O31" s="25"/>
      <c r="P31" s="66">
        <f t="shared" si="28"/>
        <v>0</v>
      </c>
      <c r="Q31" s="28"/>
      <c r="R31" s="25"/>
      <c r="S31" s="25"/>
      <c r="T31" s="66">
        <f t="shared" si="29"/>
        <v>0</v>
      </c>
      <c r="U31" s="165">
        <f t="shared" si="19"/>
        <v>0</v>
      </c>
    </row>
    <row r="32" spans="1:22" s="13" customFormat="1" ht="15.75" thickBot="1">
      <c r="A32" s="150"/>
      <c r="B32" s="151" t="s">
        <v>43</v>
      </c>
      <c r="C32" s="357"/>
      <c r="D32" s="153"/>
      <c r="E32" s="154"/>
      <c r="F32" s="154"/>
      <c r="G32" s="155">
        <f>G11-G15</f>
        <v>6440.5639999999839</v>
      </c>
      <c r="H32" s="156"/>
      <c r="I32" s="154"/>
      <c r="J32" s="357"/>
      <c r="K32" s="154"/>
      <c r="L32" s="155">
        <f>L11-L15</f>
        <v>-33967.696000000054</v>
      </c>
      <c r="M32" s="157"/>
      <c r="N32" s="157"/>
      <c r="O32" s="154"/>
      <c r="P32" s="155">
        <f>P11-P15</f>
        <v>-116310.42599999998</v>
      </c>
      <c r="Q32" s="156"/>
      <c r="R32" s="154"/>
      <c r="S32" s="154"/>
      <c r="T32" s="155">
        <f>T11-T15</f>
        <v>14716.033999999985</v>
      </c>
      <c r="U32" s="170">
        <f t="shared" si="19"/>
        <v>-129121.52400000006</v>
      </c>
      <c r="V32" s="126"/>
    </row>
    <row r="33" spans="4:4" s="13" customFormat="1">
      <c r="D33" s="50"/>
    </row>
    <row r="34" spans="4:4">
      <c r="D34" s="1"/>
    </row>
  </sheetData>
  <mergeCells count="4">
    <mergeCell ref="A1:L1"/>
    <mergeCell ref="A2:L2"/>
    <mergeCell ref="A3:L3"/>
    <mergeCell ref="Q3:U3"/>
  </mergeCells>
  <pageMargins left="0.25" right="0.25" top="0.75" bottom="0.75" header="0.3" footer="0.3"/>
  <pageSetup paperSize="9" scale="5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2"/>
  <sheetViews>
    <sheetView zoomScaleNormal="100" workbookViewId="0">
      <selection activeCell="T34" sqref="T34"/>
    </sheetView>
  </sheetViews>
  <sheetFormatPr defaultRowHeight="15"/>
  <cols>
    <col min="1" max="1" width="5.7109375" customWidth="1"/>
    <col min="2" max="2" width="41.140625" customWidth="1"/>
    <col min="3" max="3" width="9.85546875" customWidth="1"/>
    <col min="4" max="4" width="9.140625" customWidth="1"/>
    <col min="5" max="5" width="9" customWidth="1"/>
    <col min="6" max="6" width="10" customWidth="1"/>
    <col min="7" max="7" width="9.28515625" customWidth="1"/>
    <col min="8" max="8" width="9" customWidth="1"/>
    <col min="9" max="9" width="8.85546875" customWidth="1"/>
    <col min="10" max="10" width="10.5703125" customWidth="1"/>
    <col min="11" max="11" width="9.28515625" customWidth="1"/>
    <col min="12" max="18" width="9.140625" customWidth="1"/>
    <col min="19" max="19" width="9.42578125" customWidth="1"/>
    <col min="20" max="24" width="9.140625" customWidth="1"/>
  </cols>
  <sheetData>
    <row r="1" spans="1:21" s="13" customForma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Q1" s="13" t="s">
        <v>94</v>
      </c>
    </row>
    <row r="2" spans="1:21" s="13" customFormat="1">
      <c r="A2" s="368" t="s">
        <v>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Q2" s="13" t="s">
        <v>95</v>
      </c>
    </row>
    <row r="3" spans="1:21" s="13" customFormat="1">
      <c r="A3" s="370" t="s">
        <v>120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Q3" s="373" t="s">
        <v>138</v>
      </c>
      <c r="R3" s="373"/>
      <c r="S3" s="373"/>
      <c r="T3" s="373"/>
      <c r="U3" s="373"/>
    </row>
    <row r="4" spans="1:21" s="13" customFormat="1" ht="15.75" thickBot="1">
      <c r="B4" s="13" t="s">
        <v>78</v>
      </c>
      <c r="J4" s="13">
        <f>2820.5+658-0.2</f>
        <v>3478.3</v>
      </c>
    </row>
    <row r="5" spans="1:21" s="13" customFormat="1">
      <c r="A5" s="134"/>
      <c r="B5" s="135" t="s">
        <v>2</v>
      </c>
      <c r="C5" s="230" t="s">
        <v>93</v>
      </c>
      <c r="D5" s="135" t="s">
        <v>4</v>
      </c>
      <c r="E5" s="135" t="s">
        <v>5</v>
      </c>
      <c r="F5" s="135" t="s">
        <v>6</v>
      </c>
      <c r="G5" s="137" t="s">
        <v>7</v>
      </c>
      <c r="H5" s="138" t="s">
        <v>8</v>
      </c>
      <c r="I5" s="135" t="s">
        <v>9</v>
      </c>
      <c r="J5" s="135" t="s">
        <v>10</v>
      </c>
      <c r="K5" s="139" t="s">
        <v>11</v>
      </c>
      <c r="L5" s="138" t="s">
        <v>54</v>
      </c>
      <c r="M5" s="138" t="s">
        <v>55</v>
      </c>
      <c r="N5" s="138" t="s">
        <v>56</v>
      </c>
      <c r="O5" s="139" t="s">
        <v>57</v>
      </c>
      <c r="P5" s="138" t="s">
        <v>63</v>
      </c>
      <c r="Q5" s="138" t="s">
        <v>64</v>
      </c>
      <c r="R5" s="138" t="s">
        <v>65</v>
      </c>
      <c r="S5" s="138" t="s">
        <v>66</v>
      </c>
      <c r="T5" s="140" t="s">
        <v>71</v>
      </c>
    </row>
    <row r="6" spans="1:21" s="13" customFormat="1" ht="30" customHeight="1">
      <c r="A6" s="141" t="s">
        <v>12</v>
      </c>
      <c r="B6" s="19" t="s">
        <v>13</v>
      </c>
      <c r="C6" s="221"/>
      <c r="D6" s="20">
        <f>SUM(D7:D10)</f>
        <v>55200.621000000006</v>
      </c>
      <c r="E6" s="20">
        <f t="shared" ref="E6:F6" si="0">SUM(E7:E10)</f>
        <v>55200.621000000006</v>
      </c>
      <c r="F6" s="20">
        <f t="shared" si="0"/>
        <v>55200.621000000006</v>
      </c>
      <c r="G6" s="20">
        <f t="shared" ref="G6:S6" si="1">SUM(G7:G10)</f>
        <v>165601.86300000001</v>
      </c>
      <c r="H6" s="20">
        <f t="shared" si="1"/>
        <v>55200.621000000006</v>
      </c>
      <c r="I6" s="20">
        <f t="shared" si="1"/>
        <v>55200.621000000006</v>
      </c>
      <c r="J6" s="20">
        <f t="shared" si="1"/>
        <v>47548.361000000004</v>
      </c>
      <c r="K6" s="20">
        <f t="shared" si="1"/>
        <v>157949.603</v>
      </c>
      <c r="L6" s="20">
        <f t="shared" si="1"/>
        <v>55200.621000000006</v>
      </c>
      <c r="M6" s="20">
        <f t="shared" si="1"/>
        <v>55200.621000000006</v>
      </c>
      <c r="N6" s="20">
        <f t="shared" si="1"/>
        <v>55200.621000000006</v>
      </c>
      <c r="O6" s="20">
        <f t="shared" si="1"/>
        <v>165601.86300000001</v>
      </c>
      <c r="P6" s="20">
        <f t="shared" si="1"/>
        <v>55200.621000000006</v>
      </c>
      <c r="Q6" s="20">
        <f t="shared" si="1"/>
        <v>55200.621000000006</v>
      </c>
      <c r="R6" s="20">
        <f t="shared" si="1"/>
        <v>51116.381000000008</v>
      </c>
      <c r="S6" s="20">
        <f t="shared" si="1"/>
        <v>161517.62300000002</v>
      </c>
      <c r="T6" s="142">
        <f t="shared" ref="T6:T12" si="2">G6+K6+O6+S6</f>
        <v>650670.95200000005</v>
      </c>
    </row>
    <row r="7" spans="1:21" s="13" customFormat="1">
      <c r="A7" s="143" t="s">
        <v>14</v>
      </c>
      <c r="B7" s="15" t="s">
        <v>15</v>
      </c>
      <c r="C7" s="217">
        <v>10.3</v>
      </c>
      <c r="D7" s="25">
        <f>C7*J4</f>
        <v>35826.490000000005</v>
      </c>
      <c r="E7" s="25">
        <f>D7</f>
        <v>35826.490000000005</v>
      </c>
      <c r="F7" s="25">
        <f>E7</f>
        <v>35826.490000000005</v>
      </c>
      <c r="G7" s="20">
        <f>SUM(D7:F7)</f>
        <v>107479.47000000002</v>
      </c>
      <c r="H7" s="25">
        <f>F7</f>
        <v>35826.490000000005</v>
      </c>
      <c r="I7" s="25">
        <f>H7</f>
        <v>35826.490000000005</v>
      </c>
      <c r="J7" s="25">
        <f>I7</f>
        <v>35826.490000000005</v>
      </c>
      <c r="K7" s="22">
        <f>SUM(H7:J7)</f>
        <v>107479.47000000002</v>
      </c>
      <c r="L7" s="28">
        <f>J7</f>
        <v>35826.490000000005</v>
      </c>
      <c r="M7" s="28">
        <f>L7</f>
        <v>35826.490000000005</v>
      </c>
      <c r="N7" s="28">
        <f>C7*J4</f>
        <v>35826.490000000005</v>
      </c>
      <c r="O7" s="22">
        <f>SUM(L7:N7)</f>
        <v>107479.47000000002</v>
      </c>
      <c r="P7" s="28">
        <f>N7</f>
        <v>35826.490000000005</v>
      </c>
      <c r="Q7" s="28">
        <f>P7</f>
        <v>35826.490000000005</v>
      </c>
      <c r="R7" s="28">
        <f>Q7</f>
        <v>35826.490000000005</v>
      </c>
      <c r="S7" s="28">
        <f>SUM(P7:R7)</f>
        <v>107479.47000000002</v>
      </c>
      <c r="T7" s="144">
        <f t="shared" si="2"/>
        <v>429917.88000000006</v>
      </c>
    </row>
    <row r="8" spans="1:21" s="13" customFormat="1">
      <c r="A8" s="143" t="s">
        <v>16</v>
      </c>
      <c r="B8" s="15" t="s">
        <v>17</v>
      </c>
      <c r="C8" s="217">
        <v>2.8</v>
      </c>
      <c r="D8" s="25">
        <f>C8*J4</f>
        <v>9739.24</v>
      </c>
      <c r="E8" s="25">
        <f>C8*J4</f>
        <v>9739.24</v>
      </c>
      <c r="F8" s="25">
        <f>C8*J4</f>
        <v>9739.24</v>
      </c>
      <c r="G8" s="20">
        <f t="shared" ref="G8:G10" si="3">SUM(D8:F8)</f>
        <v>29217.72</v>
      </c>
      <c r="H8" s="25">
        <f>C8*J4</f>
        <v>9739.24</v>
      </c>
      <c r="I8" s="25">
        <f>C8*J4</f>
        <v>9739.24</v>
      </c>
      <c r="J8" s="25">
        <f>C8*J4</f>
        <v>9739.24</v>
      </c>
      <c r="K8" s="22">
        <f t="shared" ref="K8:K10" si="4">SUM(H8:J8)</f>
        <v>29217.72</v>
      </c>
      <c r="L8" s="25">
        <f>C8*J4</f>
        <v>9739.24</v>
      </c>
      <c r="M8" s="25">
        <f>C8*J4</f>
        <v>9739.24</v>
      </c>
      <c r="N8" s="25">
        <f>C8*J4</f>
        <v>9739.24</v>
      </c>
      <c r="O8" s="22">
        <f t="shared" ref="O8:O10" si="5">SUM(L8:N8)</f>
        <v>29217.72</v>
      </c>
      <c r="P8" s="25">
        <f>C8*J4</f>
        <v>9739.24</v>
      </c>
      <c r="Q8" s="25">
        <f>C8*J4</f>
        <v>9739.24</v>
      </c>
      <c r="R8" s="29">
        <v>5655</v>
      </c>
      <c r="S8" s="28">
        <f t="shared" ref="S8:S10" si="6">SUM(P8:R8)</f>
        <v>25133.48</v>
      </c>
      <c r="T8" s="144">
        <f t="shared" si="2"/>
        <v>112786.64</v>
      </c>
    </row>
    <row r="9" spans="1:21" s="13" customFormat="1">
      <c r="A9" s="143" t="s">
        <v>18</v>
      </c>
      <c r="B9" s="15" t="s">
        <v>30</v>
      </c>
      <c r="C9" s="217">
        <v>2.2000000000000002</v>
      </c>
      <c r="D9" s="25">
        <f>C9*J4</f>
        <v>7652.2600000000011</v>
      </c>
      <c r="E9" s="25">
        <f>C9*J4</f>
        <v>7652.2600000000011</v>
      </c>
      <c r="F9" s="25">
        <f>C9*J4</f>
        <v>7652.2600000000011</v>
      </c>
      <c r="G9" s="20">
        <f t="shared" si="3"/>
        <v>22956.780000000002</v>
      </c>
      <c r="H9" s="25">
        <f>C9*J4</f>
        <v>7652.2600000000011</v>
      </c>
      <c r="I9" s="25">
        <f>C9*J4</f>
        <v>7652.2600000000011</v>
      </c>
      <c r="J9" s="358">
        <v>0</v>
      </c>
      <c r="K9" s="22">
        <f t="shared" si="4"/>
        <v>15304.520000000002</v>
      </c>
      <c r="L9" s="28">
        <f>C9*J4</f>
        <v>7652.2600000000011</v>
      </c>
      <c r="M9" s="28">
        <f>C9*J4</f>
        <v>7652.2600000000011</v>
      </c>
      <c r="N9" s="28">
        <f>C9*J4</f>
        <v>7652.2600000000011</v>
      </c>
      <c r="O9" s="22">
        <f t="shared" si="5"/>
        <v>22956.780000000002</v>
      </c>
      <c r="P9" s="28">
        <f>C9*J4</f>
        <v>7652.2600000000011</v>
      </c>
      <c r="Q9" s="28">
        <f>C9*J4</f>
        <v>7652.2600000000011</v>
      </c>
      <c r="R9" s="28">
        <f>C9*J4</f>
        <v>7652.2600000000011</v>
      </c>
      <c r="S9" s="28">
        <f t="shared" si="6"/>
        <v>22956.780000000002</v>
      </c>
      <c r="T9" s="144">
        <f t="shared" si="2"/>
        <v>84174.86</v>
      </c>
    </row>
    <row r="10" spans="1:21" s="13" customFormat="1">
      <c r="A10" s="143" t="s">
        <v>102</v>
      </c>
      <c r="B10" s="15" t="s">
        <v>19</v>
      </c>
      <c r="C10" s="217">
        <v>0.56999999999999995</v>
      </c>
      <c r="D10" s="25">
        <f>C10*J4</f>
        <v>1982.6309999999999</v>
      </c>
      <c r="E10" s="25">
        <f>C10*J4</f>
        <v>1982.6309999999999</v>
      </c>
      <c r="F10" s="25">
        <f>E10</f>
        <v>1982.6309999999999</v>
      </c>
      <c r="G10" s="20">
        <f t="shared" si="3"/>
        <v>5947.893</v>
      </c>
      <c r="H10" s="25">
        <f>C10*J4</f>
        <v>1982.6309999999999</v>
      </c>
      <c r="I10" s="25">
        <f>C10*J4</f>
        <v>1982.6309999999999</v>
      </c>
      <c r="J10" s="25">
        <f>C10*J4</f>
        <v>1982.6309999999999</v>
      </c>
      <c r="K10" s="22">
        <f t="shared" si="4"/>
        <v>5947.893</v>
      </c>
      <c r="L10" s="28">
        <f>C10*J4</f>
        <v>1982.6309999999999</v>
      </c>
      <c r="M10" s="28">
        <f>C10*J4</f>
        <v>1982.6309999999999</v>
      </c>
      <c r="N10" s="28">
        <f>C10*J4</f>
        <v>1982.6309999999999</v>
      </c>
      <c r="O10" s="22">
        <f t="shared" si="5"/>
        <v>5947.893</v>
      </c>
      <c r="P10" s="28">
        <f>N10</f>
        <v>1982.6309999999999</v>
      </c>
      <c r="Q10" s="28">
        <f>P10</f>
        <v>1982.6309999999999</v>
      </c>
      <c r="R10" s="28">
        <f>Q10</f>
        <v>1982.6309999999999</v>
      </c>
      <c r="S10" s="28">
        <f t="shared" si="6"/>
        <v>5947.893</v>
      </c>
      <c r="T10" s="144">
        <f t="shared" si="2"/>
        <v>23791.572</v>
      </c>
    </row>
    <row r="11" spans="1:21" s="13" customFormat="1">
      <c r="A11" s="143" t="s">
        <v>32</v>
      </c>
      <c r="B11" s="15" t="s">
        <v>20</v>
      </c>
      <c r="C11" s="217"/>
      <c r="D11" s="29">
        <v>39442.879999999997</v>
      </c>
      <c r="E11" s="29">
        <v>57164.47</v>
      </c>
      <c r="F11" s="29">
        <v>34305.85</v>
      </c>
      <c r="G11" s="55">
        <f>D11+E11+F11+F12</f>
        <v>147586.05000000002</v>
      </c>
      <c r="H11" s="30">
        <v>35219.57</v>
      </c>
      <c r="I11" s="30">
        <v>37074.86</v>
      </c>
      <c r="J11" s="30">
        <v>32154.89</v>
      </c>
      <c r="K11" s="56">
        <f>H11+I11+J11+J12+J13</f>
        <v>145756.07999999999</v>
      </c>
      <c r="L11" s="30">
        <v>33931.97</v>
      </c>
      <c r="M11" s="30">
        <v>41265.379999999997</v>
      </c>
      <c r="N11" s="30">
        <v>39161.769999999997</v>
      </c>
      <c r="O11" s="56">
        <f>L11+M11+N11+N12</f>
        <v>132085.56</v>
      </c>
      <c r="P11" s="30">
        <v>48591.34</v>
      </c>
      <c r="Q11" s="30">
        <v>76990.5</v>
      </c>
      <c r="R11" s="30">
        <v>82692.97</v>
      </c>
      <c r="S11" s="30">
        <f>P11+Q11+R11+R12+R13</f>
        <v>222892.07</v>
      </c>
      <c r="T11" s="145">
        <f t="shared" si="2"/>
        <v>648319.76</v>
      </c>
    </row>
    <row r="12" spans="1:21" s="13" customFormat="1">
      <c r="A12" s="143"/>
      <c r="B12" s="15" t="s">
        <v>38</v>
      </c>
      <c r="C12" s="217"/>
      <c r="D12" s="25"/>
      <c r="E12" s="25"/>
      <c r="F12" s="29">
        <v>16672.849999999999</v>
      </c>
      <c r="G12" s="20"/>
      <c r="H12" s="28"/>
      <c r="I12" s="25"/>
      <c r="J12" s="29">
        <f>10000+1998.76+14241.5+12066.5</f>
        <v>38306.76</v>
      </c>
      <c r="K12" s="22"/>
      <c r="L12" s="28"/>
      <c r="M12" s="28"/>
      <c r="N12" s="30">
        <f>5959.24+11767.2</f>
        <v>17726.440000000002</v>
      </c>
      <c r="O12" s="22"/>
      <c r="P12" s="28"/>
      <c r="Q12" s="28"/>
      <c r="R12" s="30">
        <f>11617.26</f>
        <v>11617.26</v>
      </c>
      <c r="S12" s="28"/>
      <c r="T12" s="144">
        <f t="shared" si="2"/>
        <v>0</v>
      </c>
    </row>
    <row r="13" spans="1:21" s="13" customFormat="1">
      <c r="A13" s="143"/>
      <c r="B13" s="15" t="s">
        <v>72</v>
      </c>
      <c r="C13" s="217"/>
      <c r="D13" s="25"/>
      <c r="E13" s="25"/>
      <c r="F13" s="29"/>
      <c r="G13" s="20"/>
      <c r="H13" s="28"/>
      <c r="I13" s="25"/>
      <c r="J13" s="29">
        <v>3000</v>
      </c>
      <c r="K13" s="22"/>
      <c r="L13" s="28"/>
      <c r="M13" s="28"/>
      <c r="N13" s="30"/>
      <c r="O13" s="22"/>
      <c r="P13" s="28"/>
      <c r="Q13" s="28"/>
      <c r="R13" s="30">
        <v>3000</v>
      </c>
      <c r="S13" s="28"/>
      <c r="T13" s="144"/>
    </row>
    <row r="14" spans="1:21" s="13" customFormat="1">
      <c r="A14" s="143"/>
      <c r="B14" s="15" t="s">
        <v>21</v>
      </c>
      <c r="C14" s="217"/>
      <c r="D14" s="25">
        <f t="shared" ref="D14:S14" si="7">D11-D6</f>
        <v>-15757.741000000009</v>
      </c>
      <c r="E14" s="25">
        <f t="shared" si="7"/>
        <v>1963.8489999999947</v>
      </c>
      <c r="F14" s="25">
        <f t="shared" si="7"/>
        <v>-20894.771000000008</v>
      </c>
      <c r="G14" s="22">
        <f t="shared" si="7"/>
        <v>-18015.812999999995</v>
      </c>
      <c r="H14" s="28">
        <f t="shared" si="7"/>
        <v>-19981.051000000007</v>
      </c>
      <c r="I14" s="25">
        <f t="shared" si="7"/>
        <v>-18125.761000000006</v>
      </c>
      <c r="J14" s="25">
        <f t="shared" si="7"/>
        <v>-15393.471000000005</v>
      </c>
      <c r="K14" s="22">
        <f t="shared" si="7"/>
        <v>-12193.523000000016</v>
      </c>
      <c r="L14" s="28">
        <f t="shared" si="7"/>
        <v>-21268.651000000005</v>
      </c>
      <c r="M14" s="28">
        <f t="shared" si="7"/>
        <v>-13935.241000000009</v>
      </c>
      <c r="N14" s="28">
        <f t="shared" si="7"/>
        <v>-16038.85100000001</v>
      </c>
      <c r="O14" s="22">
        <f t="shared" si="7"/>
        <v>-33516.303000000014</v>
      </c>
      <c r="P14" s="28">
        <f t="shared" si="7"/>
        <v>-6609.28100000001</v>
      </c>
      <c r="Q14" s="28">
        <f t="shared" si="7"/>
        <v>21789.878999999994</v>
      </c>
      <c r="R14" s="28">
        <f t="shared" si="7"/>
        <v>31576.588999999993</v>
      </c>
      <c r="S14" s="28">
        <f t="shared" si="7"/>
        <v>61374.446999999986</v>
      </c>
      <c r="T14" s="144">
        <f t="shared" ref="T14:T31" si="8">G14+K14+O14+S14</f>
        <v>-2351.1920000000391</v>
      </c>
    </row>
    <row r="15" spans="1:21" s="13" customFormat="1">
      <c r="A15" s="143"/>
      <c r="B15" s="15"/>
      <c r="C15" s="217"/>
      <c r="D15" s="25"/>
      <c r="E15" s="25"/>
      <c r="F15" s="25"/>
      <c r="G15" s="20"/>
      <c r="H15" s="28"/>
      <c r="I15" s="25"/>
      <c r="J15" s="25"/>
      <c r="K15" s="22"/>
      <c r="L15" s="28"/>
      <c r="M15" s="28"/>
      <c r="N15" s="28"/>
      <c r="O15" s="22"/>
      <c r="P15" s="28"/>
      <c r="Q15" s="28"/>
      <c r="R15" s="28"/>
      <c r="S15" s="28"/>
      <c r="T15" s="144">
        <f t="shared" si="8"/>
        <v>0</v>
      </c>
    </row>
    <row r="16" spans="1:21" s="13" customFormat="1" ht="28.5" customHeight="1">
      <c r="A16" s="141" t="s">
        <v>22</v>
      </c>
      <c r="B16" s="19" t="s">
        <v>23</v>
      </c>
      <c r="C16" s="217"/>
      <c r="D16" s="22">
        <f>SUM(D17:D25)</f>
        <v>45954.618000000002</v>
      </c>
      <c r="E16" s="22">
        <f>SUM(E17:E25)</f>
        <v>43863.618000000002</v>
      </c>
      <c r="F16" s="22">
        <f>SUM(F17:F25)</f>
        <v>44951.948000000004</v>
      </c>
      <c r="G16" s="20">
        <f>SUM(D16:F16)</f>
        <v>134770.18400000001</v>
      </c>
      <c r="H16" s="22">
        <f>SUM(H17:H25)</f>
        <v>76271.618000000002</v>
      </c>
      <c r="I16" s="22">
        <f>SUM(I17:I25)</f>
        <v>44864.618000000002</v>
      </c>
      <c r="J16" s="22">
        <f>SUM(J17:J25)</f>
        <v>37324.798000000003</v>
      </c>
      <c r="K16" s="20">
        <f>SUM(H16:J16)</f>
        <v>158461.03400000001</v>
      </c>
      <c r="L16" s="22">
        <f>SUM(L17:L25)</f>
        <v>46257.618000000002</v>
      </c>
      <c r="M16" s="22">
        <f>SUM(M17:M25)</f>
        <v>43339.618000000002</v>
      </c>
      <c r="N16" s="22">
        <f>SUM(N17:N25)</f>
        <v>43654.618000000002</v>
      </c>
      <c r="O16" s="20">
        <f>SUM(L16:N16)</f>
        <v>133251.85399999999</v>
      </c>
      <c r="P16" s="22">
        <f>SUM(P17:P25)</f>
        <v>49294.618000000002</v>
      </c>
      <c r="Q16" s="22">
        <f>SUM(Q17:Q25)</f>
        <v>45122.618000000002</v>
      </c>
      <c r="R16" s="22">
        <f>SUM(R17:R25)</f>
        <v>48473.378000000012</v>
      </c>
      <c r="S16" s="20">
        <f>SUM(P16:R16)</f>
        <v>142890.614</v>
      </c>
      <c r="T16" s="142">
        <f t="shared" si="8"/>
        <v>569373.68599999999</v>
      </c>
    </row>
    <row r="17" spans="1:21" s="13" customFormat="1">
      <c r="A17" s="143" t="s">
        <v>24</v>
      </c>
      <c r="B17" s="15" t="s">
        <v>17</v>
      </c>
      <c r="C17" s="217">
        <v>2.8</v>
      </c>
      <c r="D17" s="25">
        <f>C17*J4</f>
        <v>9739.24</v>
      </c>
      <c r="E17" s="25">
        <f>C17*J4</f>
        <v>9739.24</v>
      </c>
      <c r="F17" s="25">
        <f>C17*J4</f>
        <v>9739.24</v>
      </c>
      <c r="G17" s="20">
        <f>SUM(D17:F17)</f>
        <v>29217.72</v>
      </c>
      <c r="H17" s="25">
        <f>C17*J4</f>
        <v>9739.24</v>
      </c>
      <c r="I17" s="25">
        <f>C17*J4</f>
        <v>9739.24</v>
      </c>
      <c r="J17" s="25">
        <f>C17*J4</f>
        <v>9739.24</v>
      </c>
      <c r="K17" s="20">
        <f>SUM(H17:J17)</f>
        <v>29217.72</v>
      </c>
      <c r="L17" s="28">
        <f>C17*J4</f>
        <v>9739.24</v>
      </c>
      <c r="M17" s="28">
        <f>C17*J4</f>
        <v>9739.24</v>
      </c>
      <c r="N17" s="28">
        <f>C17*J4</f>
        <v>9739.24</v>
      </c>
      <c r="O17" s="20">
        <f>SUM(L17:N17)</f>
        <v>29217.72</v>
      </c>
      <c r="P17" s="28">
        <f>C17*J4</f>
        <v>9739.24</v>
      </c>
      <c r="Q17" s="28">
        <f>C17*J4</f>
        <v>9739.24</v>
      </c>
      <c r="R17" s="30">
        <v>5655</v>
      </c>
      <c r="S17" s="26">
        <f>SUM(P17:R17)</f>
        <v>25133.48</v>
      </c>
      <c r="T17" s="144">
        <f t="shared" si="8"/>
        <v>112786.64</v>
      </c>
    </row>
    <row r="18" spans="1:21" s="13" customFormat="1">
      <c r="A18" s="143" t="s">
        <v>25</v>
      </c>
      <c r="B18" s="15" t="s">
        <v>26</v>
      </c>
      <c r="C18" s="217">
        <v>3.99</v>
      </c>
      <c r="D18" s="25">
        <f>C18*J4</f>
        <v>13878.417000000001</v>
      </c>
      <c r="E18" s="25">
        <f>C18*J4</f>
        <v>13878.417000000001</v>
      </c>
      <c r="F18" s="25">
        <f>E18</f>
        <v>13878.417000000001</v>
      </c>
      <c r="G18" s="20">
        <f t="shared" ref="G18:G30" si="9">SUM(D18:F18)</f>
        <v>41635.251000000004</v>
      </c>
      <c r="H18" s="25">
        <f>F18</f>
        <v>13878.417000000001</v>
      </c>
      <c r="I18" s="25">
        <f>H18</f>
        <v>13878.417000000001</v>
      </c>
      <c r="J18" s="25">
        <f>I18</f>
        <v>13878.417000000001</v>
      </c>
      <c r="K18" s="20">
        <f>SUM(H18:J18)</f>
        <v>41635.251000000004</v>
      </c>
      <c r="L18" s="28">
        <f>J18</f>
        <v>13878.417000000001</v>
      </c>
      <c r="M18" s="28">
        <f>L18</f>
        <v>13878.417000000001</v>
      </c>
      <c r="N18" s="28">
        <f>M18</f>
        <v>13878.417000000001</v>
      </c>
      <c r="O18" s="20">
        <f>SUM(L18:N18)</f>
        <v>41635.251000000004</v>
      </c>
      <c r="P18" s="28">
        <f>N18</f>
        <v>13878.417000000001</v>
      </c>
      <c r="Q18" s="28">
        <f>P18</f>
        <v>13878.417000000001</v>
      </c>
      <c r="R18" s="28">
        <f>Q18</f>
        <v>13878.417000000001</v>
      </c>
      <c r="S18" s="26">
        <f>SUM(P18:R18)</f>
        <v>41635.251000000004</v>
      </c>
      <c r="T18" s="144">
        <f t="shared" si="8"/>
        <v>166541.00400000002</v>
      </c>
    </row>
    <row r="19" spans="1:21" s="13" customFormat="1" ht="15.75" thickBot="1">
      <c r="A19" s="146" t="s">
        <v>27</v>
      </c>
      <c r="B19" s="33" t="s">
        <v>30</v>
      </c>
      <c r="C19" s="218">
        <v>2.2000000000000002</v>
      </c>
      <c r="D19" s="34">
        <f>C19*J4</f>
        <v>7652.2600000000011</v>
      </c>
      <c r="E19" s="34">
        <f>C19*J4</f>
        <v>7652.2600000000011</v>
      </c>
      <c r="F19" s="34">
        <f>C19*J4</f>
        <v>7652.2600000000011</v>
      </c>
      <c r="G19" s="66">
        <f>SUM(D19:F19)</f>
        <v>22956.780000000002</v>
      </c>
      <c r="H19" s="34">
        <f>C19*J4</f>
        <v>7652.2600000000011</v>
      </c>
      <c r="I19" s="34">
        <f>C19*J4</f>
        <v>7652.2600000000011</v>
      </c>
      <c r="J19" s="359">
        <v>0</v>
      </c>
      <c r="K19" s="66">
        <f t="shared" ref="K19:K30" si="10">SUM(H19:J19)</f>
        <v>15304.520000000002</v>
      </c>
      <c r="L19" s="34">
        <f>C19*J4</f>
        <v>7652.2600000000011</v>
      </c>
      <c r="M19" s="34">
        <f>C19*J4</f>
        <v>7652.2600000000011</v>
      </c>
      <c r="N19" s="34">
        <f>C19*J4</f>
        <v>7652.2600000000011</v>
      </c>
      <c r="O19" s="66">
        <f t="shared" ref="O19:O30" si="11">SUM(L19:N19)</f>
        <v>22956.780000000002</v>
      </c>
      <c r="P19" s="34">
        <f>C19*J4</f>
        <v>7652.2600000000011</v>
      </c>
      <c r="Q19" s="34">
        <f>C19*J4</f>
        <v>7652.2600000000011</v>
      </c>
      <c r="R19" s="34">
        <f>C19*J4</f>
        <v>7652.2600000000011</v>
      </c>
      <c r="S19" s="35">
        <f t="shared" ref="S19:S30" si="12">SUM(P19:R19)</f>
        <v>22956.780000000002</v>
      </c>
      <c r="T19" s="147">
        <f t="shared" si="8"/>
        <v>84174.86</v>
      </c>
    </row>
    <row r="20" spans="1:21" s="13" customFormat="1" ht="18" customHeight="1" thickBot="1">
      <c r="A20" s="36" t="s">
        <v>28</v>
      </c>
      <c r="B20" s="37" t="s">
        <v>40</v>
      </c>
      <c r="C20" s="219"/>
      <c r="D20" s="38">
        <v>2615</v>
      </c>
      <c r="E20" s="38">
        <v>524</v>
      </c>
      <c r="F20" s="38">
        <v>0</v>
      </c>
      <c r="G20" s="67">
        <f t="shared" si="9"/>
        <v>3139</v>
      </c>
      <c r="H20" s="40">
        <v>32932</v>
      </c>
      <c r="I20" s="38">
        <v>1525</v>
      </c>
      <c r="J20" s="360">
        <v>0</v>
      </c>
      <c r="K20" s="67">
        <f t="shared" si="10"/>
        <v>34457</v>
      </c>
      <c r="L20" s="40">
        <v>2918</v>
      </c>
      <c r="M20" s="40">
        <v>0</v>
      </c>
      <c r="N20" s="40">
        <v>315</v>
      </c>
      <c r="O20" s="67">
        <f t="shared" si="11"/>
        <v>3233</v>
      </c>
      <c r="P20" s="40">
        <v>5955</v>
      </c>
      <c r="Q20" s="40">
        <v>1783</v>
      </c>
      <c r="R20" s="40">
        <v>9218</v>
      </c>
      <c r="S20" s="39">
        <f t="shared" si="12"/>
        <v>16956</v>
      </c>
      <c r="T20" s="73">
        <f t="shared" si="8"/>
        <v>57785</v>
      </c>
    </row>
    <row r="21" spans="1:21" s="13" customFormat="1">
      <c r="A21" s="148" t="s">
        <v>33</v>
      </c>
      <c r="B21" s="45" t="s">
        <v>45</v>
      </c>
      <c r="C21" s="216">
        <v>1.2</v>
      </c>
      <c r="D21" s="46">
        <f>C21*J4</f>
        <v>4173.96</v>
      </c>
      <c r="E21" s="46">
        <f>C21*J4</f>
        <v>4173.96</v>
      </c>
      <c r="F21" s="46">
        <f>C21*J4</f>
        <v>4173.96</v>
      </c>
      <c r="G21" s="98">
        <f t="shared" si="9"/>
        <v>12521.880000000001</v>
      </c>
      <c r="H21" s="46">
        <f>F21</f>
        <v>4173.96</v>
      </c>
      <c r="I21" s="75">
        <f t="shared" ref="I21:J23" si="13">H21</f>
        <v>4173.96</v>
      </c>
      <c r="J21" s="75">
        <f t="shared" si="13"/>
        <v>4173.96</v>
      </c>
      <c r="K21" s="124">
        <f t="shared" si="10"/>
        <v>12521.880000000001</v>
      </c>
      <c r="L21" s="76">
        <f>J21</f>
        <v>4173.96</v>
      </c>
      <c r="M21" s="76">
        <f t="shared" ref="M21:N23" si="14">L21</f>
        <v>4173.96</v>
      </c>
      <c r="N21" s="76">
        <f t="shared" si="14"/>
        <v>4173.96</v>
      </c>
      <c r="O21" s="124">
        <f t="shared" si="11"/>
        <v>12521.880000000001</v>
      </c>
      <c r="P21" s="76">
        <f>N21</f>
        <v>4173.96</v>
      </c>
      <c r="Q21" s="76">
        <f t="shared" ref="Q21:R23" si="15">P21</f>
        <v>4173.96</v>
      </c>
      <c r="R21" s="76">
        <f t="shared" si="15"/>
        <v>4173.96</v>
      </c>
      <c r="S21" s="77">
        <f t="shared" si="12"/>
        <v>12521.880000000001</v>
      </c>
      <c r="T21" s="149">
        <f t="shared" si="8"/>
        <v>50087.520000000004</v>
      </c>
    </row>
    <row r="22" spans="1:21" s="13" customFormat="1">
      <c r="A22" s="143" t="s">
        <v>34</v>
      </c>
      <c r="B22" s="15" t="s">
        <v>41</v>
      </c>
      <c r="C22" s="217">
        <v>0.2</v>
      </c>
      <c r="D22" s="25">
        <f>C22*J4</f>
        <v>695.66000000000008</v>
      </c>
      <c r="E22" s="25">
        <f t="shared" ref="E22:F24" si="16">D22</f>
        <v>695.66000000000008</v>
      </c>
      <c r="F22" s="25">
        <f t="shared" si="16"/>
        <v>695.66000000000008</v>
      </c>
      <c r="G22" s="20">
        <f t="shared" si="9"/>
        <v>2086.9800000000005</v>
      </c>
      <c r="H22" s="25">
        <f>F22</f>
        <v>695.66000000000008</v>
      </c>
      <c r="I22" s="34">
        <f t="shared" si="13"/>
        <v>695.66000000000008</v>
      </c>
      <c r="J22" s="34">
        <f t="shared" si="13"/>
        <v>695.66000000000008</v>
      </c>
      <c r="K22" s="66">
        <f t="shared" si="10"/>
        <v>2086.9800000000005</v>
      </c>
      <c r="L22" s="28">
        <f>J22</f>
        <v>695.66000000000008</v>
      </c>
      <c r="M22" s="28">
        <f t="shared" si="14"/>
        <v>695.66000000000008</v>
      </c>
      <c r="N22" s="28">
        <f t="shared" si="14"/>
        <v>695.66000000000008</v>
      </c>
      <c r="O22" s="66">
        <f t="shared" si="11"/>
        <v>2086.9800000000005</v>
      </c>
      <c r="P22" s="28">
        <f>N22</f>
        <v>695.66000000000008</v>
      </c>
      <c r="Q22" s="28">
        <f t="shared" si="15"/>
        <v>695.66000000000008</v>
      </c>
      <c r="R22" s="28">
        <f t="shared" si="15"/>
        <v>695.66000000000008</v>
      </c>
      <c r="S22" s="35">
        <f t="shared" si="12"/>
        <v>2086.9800000000005</v>
      </c>
      <c r="T22" s="144">
        <f t="shared" si="8"/>
        <v>8347.9200000000019</v>
      </c>
    </row>
    <row r="23" spans="1:21" s="13" customFormat="1">
      <c r="A23" s="143" t="s">
        <v>35</v>
      </c>
      <c r="B23" s="15" t="s">
        <v>89</v>
      </c>
      <c r="C23" s="217">
        <v>0.56999999999999995</v>
      </c>
      <c r="D23" s="25">
        <f>C23*J4</f>
        <v>1982.6309999999999</v>
      </c>
      <c r="E23" s="25">
        <f t="shared" si="16"/>
        <v>1982.6309999999999</v>
      </c>
      <c r="F23" s="25">
        <f t="shared" si="16"/>
        <v>1982.6309999999999</v>
      </c>
      <c r="G23" s="20">
        <f t="shared" si="9"/>
        <v>5947.893</v>
      </c>
      <c r="H23" s="25">
        <f>F23</f>
        <v>1982.6309999999999</v>
      </c>
      <c r="I23" s="25">
        <f t="shared" si="13"/>
        <v>1982.6309999999999</v>
      </c>
      <c r="J23" s="25">
        <f t="shared" si="13"/>
        <v>1982.6309999999999</v>
      </c>
      <c r="K23" s="66">
        <f t="shared" si="10"/>
        <v>5947.893</v>
      </c>
      <c r="L23" s="28">
        <f>J23</f>
        <v>1982.6309999999999</v>
      </c>
      <c r="M23" s="28">
        <f t="shared" si="14"/>
        <v>1982.6309999999999</v>
      </c>
      <c r="N23" s="28">
        <f t="shared" si="14"/>
        <v>1982.6309999999999</v>
      </c>
      <c r="O23" s="66">
        <f t="shared" si="11"/>
        <v>5947.893</v>
      </c>
      <c r="P23" s="28">
        <f>N23</f>
        <v>1982.6309999999999</v>
      </c>
      <c r="Q23" s="28">
        <f t="shared" si="15"/>
        <v>1982.6309999999999</v>
      </c>
      <c r="R23" s="28">
        <f t="shared" si="15"/>
        <v>1982.6309999999999</v>
      </c>
      <c r="S23" s="35">
        <f t="shared" si="12"/>
        <v>5947.893</v>
      </c>
      <c r="T23" s="144">
        <f t="shared" si="8"/>
        <v>23791.572</v>
      </c>
    </row>
    <row r="24" spans="1:21" s="13" customFormat="1">
      <c r="A24" s="143" t="s">
        <v>124</v>
      </c>
      <c r="B24" s="15" t="s">
        <v>123</v>
      </c>
      <c r="C24" s="217">
        <v>1.5</v>
      </c>
      <c r="D24" s="25">
        <f>C24*J4</f>
        <v>5217.4500000000007</v>
      </c>
      <c r="E24" s="25">
        <f t="shared" si="16"/>
        <v>5217.4500000000007</v>
      </c>
      <c r="F24" s="25">
        <f t="shared" si="16"/>
        <v>5217.4500000000007</v>
      </c>
      <c r="G24" s="20">
        <f>F24+E24+D24</f>
        <v>15652.350000000002</v>
      </c>
      <c r="H24" s="25">
        <f>F24</f>
        <v>5217.4500000000007</v>
      </c>
      <c r="I24" s="25">
        <f>H24</f>
        <v>5217.4500000000007</v>
      </c>
      <c r="J24" s="25">
        <f>I24</f>
        <v>5217.4500000000007</v>
      </c>
      <c r="K24" s="66">
        <f>H24+I24+J24</f>
        <v>15652.350000000002</v>
      </c>
      <c r="L24" s="28">
        <f>J24</f>
        <v>5217.4500000000007</v>
      </c>
      <c r="M24" s="28">
        <f>L24</f>
        <v>5217.4500000000007</v>
      </c>
      <c r="N24" s="28">
        <f>M24</f>
        <v>5217.4500000000007</v>
      </c>
      <c r="O24" s="66">
        <f>L24+M24+N24</f>
        <v>15652.350000000002</v>
      </c>
      <c r="P24" s="28">
        <f>N24</f>
        <v>5217.4500000000007</v>
      </c>
      <c r="Q24" s="28">
        <f>P24</f>
        <v>5217.4500000000007</v>
      </c>
      <c r="R24" s="28">
        <f>Q24</f>
        <v>5217.4500000000007</v>
      </c>
      <c r="S24" s="35">
        <f>P24+Q24+R24</f>
        <v>15652.350000000002</v>
      </c>
      <c r="T24" s="144">
        <f t="shared" si="8"/>
        <v>62609.400000000009</v>
      </c>
    </row>
    <row r="25" spans="1:21" s="13" customFormat="1">
      <c r="A25" s="143" t="s">
        <v>101</v>
      </c>
      <c r="B25" s="15" t="s">
        <v>84</v>
      </c>
      <c r="C25" s="217"/>
      <c r="D25" s="25">
        <f>SUM(D27:D30)</f>
        <v>0</v>
      </c>
      <c r="E25" s="25">
        <f>SUM(E27:E30)</f>
        <v>0</v>
      </c>
      <c r="F25" s="29">
        <f>SUM(F27:F30)</f>
        <v>1612.33</v>
      </c>
      <c r="G25" s="20">
        <f t="shared" si="9"/>
        <v>1612.33</v>
      </c>
      <c r="H25" s="25">
        <f>SUM(H27:H30)</f>
        <v>0</v>
      </c>
      <c r="I25" s="25">
        <f>SUM(I27:I30)</f>
        <v>0</v>
      </c>
      <c r="J25" s="29">
        <f>SUM(J27:J30)</f>
        <v>1637.44</v>
      </c>
      <c r="K25" s="66">
        <f t="shared" si="10"/>
        <v>1637.44</v>
      </c>
      <c r="L25" s="28">
        <f>SUM(L27:L30)</f>
        <v>0</v>
      </c>
      <c r="M25" s="28">
        <f>SUM(M27:M30)</f>
        <v>0</v>
      </c>
      <c r="N25" s="30">
        <f>SUM(N27:N30)</f>
        <v>0</v>
      </c>
      <c r="O25" s="66">
        <f t="shared" si="11"/>
        <v>0</v>
      </c>
      <c r="P25" s="28">
        <f>SUM(P27:P30)</f>
        <v>0</v>
      </c>
      <c r="Q25" s="28">
        <f>SUM(Q27:Q30)</f>
        <v>0</v>
      </c>
      <c r="R25" s="28">
        <f>SUM(R27:R30)</f>
        <v>0</v>
      </c>
      <c r="S25" s="35">
        <f t="shared" si="12"/>
        <v>0</v>
      </c>
      <c r="T25" s="144">
        <f t="shared" si="8"/>
        <v>3249.77</v>
      </c>
    </row>
    <row r="26" spans="1:21" s="13" customFormat="1">
      <c r="A26" s="143"/>
      <c r="B26" s="15" t="s">
        <v>44</v>
      </c>
      <c r="C26" s="217"/>
      <c r="D26" s="25"/>
      <c r="E26" s="25"/>
      <c r="F26" s="25"/>
      <c r="G26" s="20">
        <f t="shared" si="9"/>
        <v>0</v>
      </c>
      <c r="H26" s="28"/>
      <c r="I26" s="25"/>
      <c r="J26" s="25"/>
      <c r="K26" s="66">
        <f t="shared" si="10"/>
        <v>0</v>
      </c>
      <c r="L26" s="28"/>
      <c r="M26" s="28"/>
      <c r="N26" s="28"/>
      <c r="O26" s="66">
        <f t="shared" si="11"/>
        <v>0</v>
      </c>
      <c r="P26" s="28"/>
      <c r="Q26" s="28"/>
      <c r="R26" s="28"/>
      <c r="S26" s="35">
        <f t="shared" si="12"/>
        <v>0</v>
      </c>
      <c r="T26" s="144">
        <f t="shared" si="8"/>
        <v>0</v>
      </c>
    </row>
    <row r="27" spans="1:21" s="13" customFormat="1">
      <c r="A27" s="143"/>
      <c r="B27" s="15" t="s">
        <v>83</v>
      </c>
      <c r="C27" s="217"/>
      <c r="D27" s="25"/>
      <c r="E27" s="25"/>
      <c r="F27" s="29">
        <v>1612.33</v>
      </c>
      <c r="G27" s="20">
        <f t="shared" si="9"/>
        <v>1612.33</v>
      </c>
      <c r="H27" s="28"/>
      <c r="I27" s="25"/>
      <c r="J27" s="29"/>
      <c r="K27" s="66">
        <f t="shared" si="10"/>
        <v>0</v>
      </c>
      <c r="L27" s="28"/>
      <c r="M27" s="28"/>
      <c r="N27" s="28"/>
      <c r="O27" s="66">
        <f t="shared" si="11"/>
        <v>0</v>
      </c>
      <c r="P27" s="28"/>
      <c r="Q27" s="28"/>
      <c r="R27" s="28"/>
      <c r="S27" s="35">
        <f t="shared" si="12"/>
        <v>0</v>
      </c>
      <c r="T27" s="144">
        <f t="shared" si="8"/>
        <v>1612.33</v>
      </c>
    </row>
    <row r="28" spans="1:21" s="13" customFormat="1">
      <c r="A28" s="143"/>
      <c r="B28" s="15" t="s">
        <v>49</v>
      </c>
      <c r="C28" s="217"/>
      <c r="D28" s="25"/>
      <c r="E28" s="25"/>
      <c r="F28" s="25"/>
      <c r="G28" s="20">
        <f t="shared" si="9"/>
        <v>0</v>
      </c>
      <c r="H28" s="28"/>
      <c r="I28" s="25"/>
      <c r="J28" s="25"/>
      <c r="K28" s="66">
        <f t="shared" si="10"/>
        <v>0</v>
      </c>
      <c r="L28" s="28"/>
      <c r="M28" s="28"/>
      <c r="N28" s="28"/>
      <c r="O28" s="66">
        <f t="shared" si="11"/>
        <v>0</v>
      </c>
      <c r="P28" s="28"/>
      <c r="Q28" s="28"/>
      <c r="R28" s="28"/>
      <c r="S28" s="35">
        <f t="shared" si="12"/>
        <v>0</v>
      </c>
      <c r="T28" s="144">
        <f t="shared" si="8"/>
        <v>0</v>
      </c>
    </row>
    <row r="29" spans="1:21" s="13" customFormat="1">
      <c r="A29" s="143"/>
      <c r="B29" s="15" t="s">
        <v>70</v>
      </c>
      <c r="C29" s="217"/>
      <c r="D29" s="25"/>
      <c r="E29" s="25"/>
      <c r="F29" s="25"/>
      <c r="G29" s="20">
        <f t="shared" si="9"/>
        <v>0</v>
      </c>
      <c r="H29" s="28"/>
      <c r="I29" s="25"/>
      <c r="J29" s="25"/>
      <c r="K29" s="66">
        <f t="shared" si="10"/>
        <v>0</v>
      </c>
      <c r="L29" s="28"/>
      <c r="M29" s="28"/>
      <c r="N29" s="30"/>
      <c r="O29" s="66">
        <f t="shared" si="11"/>
        <v>0</v>
      </c>
      <c r="P29" s="28"/>
      <c r="Q29" s="28"/>
      <c r="R29" s="28"/>
      <c r="S29" s="35">
        <f t="shared" si="12"/>
        <v>0</v>
      </c>
      <c r="T29" s="144">
        <f t="shared" si="8"/>
        <v>0</v>
      </c>
    </row>
    <row r="30" spans="1:21" s="13" customFormat="1">
      <c r="A30" s="143"/>
      <c r="B30" s="15" t="s">
        <v>73</v>
      </c>
      <c r="C30" s="217"/>
      <c r="D30" s="25"/>
      <c r="E30" s="25"/>
      <c r="F30" s="25"/>
      <c r="G30" s="20">
        <f t="shared" si="9"/>
        <v>0</v>
      </c>
      <c r="H30" s="28"/>
      <c r="I30" s="25"/>
      <c r="J30" s="29">
        <v>1637.44</v>
      </c>
      <c r="K30" s="66">
        <f t="shared" si="10"/>
        <v>1637.44</v>
      </c>
      <c r="L30" s="28"/>
      <c r="M30" s="28"/>
      <c r="N30" s="30"/>
      <c r="O30" s="66">
        <f t="shared" si="11"/>
        <v>0</v>
      </c>
      <c r="P30" s="28"/>
      <c r="Q30" s="28"/>
      <c r="R30" s="28"/>
      <c r="S30" s="35">
        <f t="shared" si="12"/>
        <v>0</v>
      </c>
      <c r="T30" s="144">
        <f t="shared" si="8"/>
        <v>1637.44</v>
      </c>
    </row>
    <row r="31" spans="1:21" s="13" customFormat="1" ht="15.75" thickBot="1">
      <c r="A31" s="150"/>
      <c r="B31" s="151" t="s">
        <v>43</v>
      </c>
      <c r="C31" s="222"/>
      <c r="D31" s="153"/>
      <c r="E31" s="154"/>
      <c r="F31" s="154"/>
      <c r="G31" s="155">
        <f>G11-G16</f>
        <v>12815.866000000009</v>
      </c>
      <c r="H31" s="156"/>
      <c r="I31" s="154"/>
      <c r="J31" s="154"/>
      <c r="K31" s="155">
        <f>K11-K16</f>
        <v>-12704.954000000027</v>
      </c>
      <c r="L31" s="157"/>
      <c r="M31" s="157"/>
      <c r="N31" s="156"/>
      <c r="O31" s="155">
        <f>O11-O16</f>
        <v>-1166.2939999999944</v>
      </c>
      <c r="P31" s="156"/>
      <c r="Q31" s="156"/>
      <c r="R31" s="156"/>
      <c r="S31" s="157">
        <f>S11-S16</f>
        <v>80001.456000000006</v>
      </c>
      <c r="T31" s="158">
        <f t="shared" si="8"/>
        <v>78946.073999999993</v>
      </c>
      <c r="U31" s="126"/>
    </row>
    <row r="32" spans="1:21" s="13" customFormat="1">
      <c r="D32" s="50"/>
      <c r="G32" s="14"/>
    </row>
  </sheetData>
  <mergeCells count="4">
    <mergeCell ref="A1:K1"/>
    <mergeCell ref="A2:K2"/>
    <mergeCell ref="A3:K3"/>
    <mergeCell ref="Q3:U3"/>
  </mergeCells>
  <pageMargins left="0.25" right="0.25" top="0.75" bottom="0.75" header="0.3" footer="0.3"/>
  <pageSetup paperSize="9" scale="61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30"/>
  <sheetViews>
    <sheetView zoomScaleNormal="100" workbookViewId="0">
      <selection activeCell="L10" sqref="L10:L11"/>
    </sheetView>
  </sheetViews>
  <sheetFormatPr defaultRowHeight="15"/>
  <cols>
    <col min="1" max="1" width="5" customWidth="1"/>
    <col min="2" max="2" width="40.42578125" customWidth="1"/>
  </cols>
  <sheetData>
    <row r="1" spans="1:23" s="13" customForma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1"/>
      <c r="S1" s="13" t="s">
        <v>94</v>
      </c>
    </row>
    <row r="2" spans="1:23" s="13" customFormat="1">
      <c r="A2" s="368" t="s">
        <v>140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1"/>
      <c r="O2" s="50"/>
      <c r="S2" s="13" t="s">
        <v>95</v>
      </c>
    </row>
    <row r="3" spans="1:23" s="13" customFormat="1">
      <c r="A3" s="370" t="s">
        <v>121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65"/>
      <c r="S3" s="373" t="s">
        <v>138</v>
      </c>
      <c r="T3" s="373"/>
      <c r="U3" s="373"/>
      <c r="V3" s="373"/>
      <c r="W3" s="373"/>
    </row>
    <row r="4" spans="1:23" s="13" customFormat="1" ht="15.75" thickBot="1">
      <c r="B4" s="13" t="s">
        <v>96</v>
      </c>
      <c r="K4" s="13">
        <f>2340.2+51.2</f>
        <v>2391.3999999999996</v>
      </c>
    </row>
    <row r="5" spans="1:23" s="13" customFormat="1">
      <c r="A5" s="134"/>
      <c r="B5" s="135" t="s">
        <v>2</v>
      </c>
      <c r="C5" s="206" t="s">
        <v>3</v>
      </c>
      <c r="D5" s="135" t="s">
        <v>4</v>
      </c>
      <c r="E5" s="206" t="s">
        <v>3</v>
      </c>
      <c r="F5" s="135" t="s">
        <v>5</v>
      </c>
      <c r="G5" s="135" t="s">
        <v>6</v>
      </c>
      <c r="H5" s="137" t="s">
        <v>7</v>
      </c>
      <c r="I5" s="135" t="s">
        <v>8</v>
      </c>
      <c r="J5" s="135" t="s">
        <v>9</v>
      </c>
      <c r="K5" s="135" t="s">
        <v>10</v>
      </c>
      <c r="L5" s="139" t="s">
        <v>11</v>
      </c>
      <c r="M5" s="206" t="s">
        <v>3</v>
      </c>
      <c r="N5" s="138" t="s">
        <v>54</v>
      </c>
      <c r="O5" s="138" t="s">
        <v>55</v>
      </c>
      <c r="P5" s="138" t="s">
        <v>56</v>
      </c>
      <c r="Q5" s="139" t="s">
        <v>57</v>
      </c>
      <c r="R5" s="138" t="s">
        <v>63</v>
      </c>
      <c r="S5" s="138" t="s">
        <v>64</v>
      </c>
      <c r="T5" s="138" t="s">
        <v>65</v>
      </c>
      <c r="U5" s="139" t="s">
        <v>66</v>
      </c>
      <c r="V5" s="140" t="s">
        <v>71</v>
      </c>
    </row>
    <row r="6" spans="1:23" s="13" customFormat="1" ht="28.5" customHeight="1">
      <c r="A6" s="141" t="s">
        <v>12</v>
      </c>
      <c r="B6" s="19" t="s">
        <v>13</v>
      </c>
      <c r="C6" s="207"/>
      <c r="D6" s="20">
        <f t="shared" ref="D6:H6" si="0">SUM(D7:D10)</f>
        <v>38190.657999999996</v>
      </c>
      <c r="E6" s="207"/>
      <c r="F6" s="20">
        <f>F7+F8+F9+F10</f>
        <v>38190.657999999996</v>
      </c>
      <c r="G6" s="20">
        <f>G7+G8+G9+G10</f>
        <v>38190.657999999996</v>
      </c>
      <c r="H6" s="20">
        <f t="shared" si="0"/>
        <v>114587.94399999999</v>
      </c>
      <c r="I6" s="20">
        <f>SUM(I7:I10)</f>
        <v>38190.657999999996</v>
      </c>
      <c r="J6" s="20">
        <f>SUM(J7:J10)</f>
        <v>38190.657999999996</v>
      </c>
      <c r="K6" s="20">
        <f>SUM(K7:K10)</f>
        <v>38190.657999999996</v>
      </c>
      <c r="L6" s="20">
        <f t="shared" ref="L6:U6" si="1">SUM(L7:L10)</f>
        <v>114571.97399999999</v>
      </c>
      <c r="M6" s="207"/>
      <c r="N6" s="20">
        <f>K6</f>
        <v>38190.657999999996</v>
      </c>
      <c r="O6" s="20">
        <f>O7+O8+O9+O10</f>
        <v>39936.37999999999</v>
      </c>
      <c r="P6" s="20">
        <f t="shared" ref="P6" si="2">N6</f>
        <v>38190.657999999996</v>
      </c>
      <c r="Q6" s="20">
        <f t="shared" si="1"/>
        <v>119809.13999999998</v>
      </c>
      <c r="R6" s="20">
        <f>R7+R8+R9+R10</f>
        <v>39936.37999999999</v>
      </c>
      <c r="S6" s="20">
        <f t="shared" ref="S6:T6" si="3">S7+S8+S9+S10</f>
        <v>39936.37999999999</v>
      </c>
      <c r="T6" s="20">
        <f t="shared" si="3"/>
        <v>39936.37999999999</v>
      </c>
      <c r="U6" s="20">
        <f t="shared" si="1"/>
        <v>119809.13999999998</v>
      </c>
      <c r="V6" s="142">
        <f t="shared" ref="V6:V12" si="4">H6+L6+Q6+U6</f>
        <v>468778.19799999997</v>
      </c>
    </row>
    <row r="7" spans="1:23" s="13" customFormat="1">
      <c r="A7" s="143" t="s">
        <v>14</v>
      </c>
      <c r="B7" s="15" t="s">
        <v>15</v>
      </c>
      <c r="C7" s="203">
        <v>11.54</v>
      </c>
      <c r="D7" s="25">
        <f>C7*$K$4</f>
        <v>27596.755999999994</v>
      </c>
      <c r="E7" s="203">
        <v>10.97</v>
      </c>
      <c r="F7" s="25">
        <f>E7*K4</f>
        <v>26233.657999999996</v>
      </c>
      <c r="G7" s="25">
        <f>E7*K4</f>
        <v>26233.657999999996</v>
      </c>
      <c r="H7" s="20">
        <f>SUM(D7:G7)</f>
        <v>80075.041999999987</v>
      </c>
      <c r="I7" s="25">
        <f>G7</f>
        <v>26233.657999999996</v>
      </c>
      <c r="J7" s="25">
        <f>I7</f>
        <v>26233.657999999996</v>
      </c>
      <c r="K7" s="25">
        <f>J7</f>
        <v>26233.657999999996</v>
      </c>
      <c r="L7" s="22">
        <f>I7+J7+K7</f>
        <v>78700.973999999987</v>
      </c>
      <c r="M7" s="203">
        <v>11.7</v>
      </c>
      <c r="N7" s="28">
        <f>M7*K4</f>
        <v>27979.379999999994</v>
      </c>
      <c r="O7" s="28">
        <f>N7</f>
        <v>27979.379999999994</v>
      </c>
      <c r="P7" s="28">
        <f>O7</f>
        <v>27979.379999999994</v>
      </c>
      <c r="Q7" s="22">
        <f>SUM(N7:P7)</f>
        <v>83938.139999999985</v>
      </c>
      <c r="R7" s="28">
        <f>P7</f>
        <v>27979.379999999994</v>
      </c>
      <c r="S7" s="28">
        <f>R7</f>
        <v>27979.379999999994</v>
      </c>
      <c r="T7" s="28">
        <f>S7</f>
        <v>27979.379999999994</v>
      </c>
      <c r="U7" s="22">
        <f>SUM(R7:T7)</f>
        <v>83938.139999999985</v>
      </c>
      <c r="V7" s="144">
        <f t="shared" si="4"/>
        <v>326652.29599999997</v>
      </c>
    </row>
    <row r="8" spans="1:23" s="13" customFormat="1">
      <c r="A8" s="143" t="s">
        <v>16</v>
      </c>
      <c r="B8" s="15" t="s">
        <v>17</v>
      </c>
      <c r="C8" s="203">
        <v>2.57</v>
      </c>
      <c r="D8" s="25">
        <f t="shared" ref="D8:D10" si="5">C8*$K$4</f>
        <v>6145.8979999999983</v>
      </c>
      <c r="E8" s="203">
        <v>2.8</v>
      </c>
      <c r="F8" s="25">
        <f>E8*K4</f>
        <v>6695.9199999999983</v>
      </c>
      <c r="G8" s="25">
        <f>E8*K4</f>
        <v>6695.9199999999983</v>
      </c>
      <c r="H8" s="20">
        <f>SUM(D8:G8)</f>
        <v>19540.537999999993</v>
      </c>
      <c r="I8" s="25">
        <f>E8*K4</f>
        <v>6695.9199999999983</v>
      </c>
      <c r="J8" s="25">
        <f>E8*K4</f>
        <v>6695.9199999999983</v>
      </c>
      <c r="K8" s="25">
        <f>E8*K4</f>
        <v>6695.9199999999983</v>
      </c>
      <c r="L8" s="22">
        <f>I8+J8+K8</f>
        <v>20087.759999999995</v>
      </c>
      <c r="M8" s="203">
        <v>2.8</v>
      </c>
      <c r="N8" s="25">
        <f>E8*K4</f>
        <v>6695.9199999999983</v>
      </c>
      <c r="O8" s="25">
        <f>E8*K4</f>
        <v>6695.9199999999983</v>
      </c>
      <c r="P8" s="25">
        <f>E8*K4</f>
        <v>6695.9199999999983</v>
      </c>
      <c r="Q8" s="22">
        <f t="shared" ref="Q8:Q10" si="6">SUM(N8:P8)</f>
        <v>20087.759999999995</v>
      </c>
      <c r="R8" s="25">
        <f>E8*K4</f>
        <v>6695.9199999999983</v>
      </c>
      <c r="S8" s="25">
        <f>E8*K4</f>
        <v>6695.9199999999983</v>
      </c>
      <c r="T8" s="25">
        <f>E8*K4</f>
        <v>6695.9199999999983</v>
      </c>
      <c r="U8" s="22">
        <f t="shared" ref="U8:U10" si="7">SUM(R8:T8)</f>
        <v>20087.759999999995</v>
      </c>
      <c r="V8" s="144">
        <f t="shared" si="4"/>
        <v>79803.81799999997</v>
      </c>
    </row>
    <row r="9" spans="1:23" s="13" customFormat="1">
      <c r="A9" s="143" t="s">
        <v>18</v>
      </c>
      <c r="B9" s="15" t="s">
        <v>30</v>
      </c>
      <c r="C9" s="203">
        <v>1.86</v>
      </c>
      <c r="D9" s="25">
        <f t="shared" si="5"/>
        <v>4448.0039999999999</v>
      </c>
      <c r="E9" s="203">
        <v>2.2000000000000002</v>
      </c>
      <c r="F9" s="25">
        <f>E9*K4</f>
        <v>5261.08</v>
      </c>
      <c r="G9" s="25">
        <f>E9*K4</f>
        <v>5261.08</v>
      </c>
      <c r="H9" s="20">
        <f t="shared" ref="H9:H10" si="8">SUM(D9:G9)</f>
        <v>14972.364</v>
      </c>
      <c r="I9" s="25">
        <f>E9*K4</f>
        <v>5261.08</v>
      </c>
      <c r="J9" s="25">
        <f>E9*K4</f>
        <v>5261.08</v>
      </c>
      <c r="K9" s="25">
        <f>E9*K4</f>
        <v>5261.08</v>
      </c>
      <c r="L9" s="22">
        <f>I9+J9+K9</f>
        <v>15783.24</v>
      </c>
      <c r="M9" s="203">
        <v>2.2000000000000002</v>
      </c>
      <c r="N9" s="25">
        <f>E9*K4</f>
        <v>5261.08</v>
      </c>
      <c r="O9" s="25">
        <f>E9*K4</f>
        <v>5261.08</v>
      </c>
      <c r="P9" s="25">
        <f>E9*K4</f>
        <v>5261.08</v>
      </c>
      <c r="Q9" s="22">
        <f t="shared" si="6"/>
        <v>15783.24</v>
      </c>
      <c r="R9" s="25">
        <f>E9*K4</f>
        <v>5261.08</v>
      </c>
      <c r="S9" s="25">
        <f>E9*K4</f>
        <v>5261.08</v>
      </c>
      <c r="T9" s="25">
        <f>E9*K4</f>
        <v>5261.08</v>
      </c>
      <c r="U9" s="22">
        <f t="shared" si="7"/>
        <v>15783.24</v>
      </c>
      <c r="V9" s="144">
        <f t="shared" si="4"/>
        <v>62322.083999999995</v>
      </c>
    </row>
    <row r="10" spans="1:23" s="13" customFormat="1" ht="15.75" thickBot="1">
      <c r="A10" s="143" t="s">
        <v>31</v>
      </c>
      <c r="B10" s="15" t="s">
        <v>19</v>
      </c>
      <c r="C10" s="203"/>
      <c r="D10" s="25">
        <f t="shared" si="5"/>
        <v>0</v>
      </c>
      <c r="E10" s="203"/>
      <c r="F10" s="25">
        <f t="shared" ref="F10" si="9">C10*$K$4</f>
        <v>0</v>
      </c>
      <c r="G10" s="25">
        <f t="shared" ref="G10" si="10">C10*$K$4</f>
        <v>0</v>
      </c>
      <c r="H10" s="20">
        <f t="shared" si="8"/>
        <v>0</v>
      </c>
      <c r="I10" s="25">
        <f t="shared" ref="I10" si="11">C10*$K$4</f>
        <v>0</v>
      </c>
      <c r="J10" s="25">
        <f t="shared" ref="J10" si="12">C10*$K$4</f>
        <v>0</v>
      </c>
      <c r="K10" s="25">
        <v>0</v>
      </c>
      <c r="L10" s="22">
        <f>I10+J10+K10</f>
        <v>0</v>
      </c>
      <c r="M10" s="203"/>
      <c r="N10" s="28">
        <f>K10</f>
        <v>0</v>
      </c>
      <c r="O10" s="28">
        <f>N10</f>
        <v>0</v>
      </c>
      <c r="P10" s="28">
        <f>O10</f>
        <v>0</v>
      </c>
      <c r="Q10" s="22">
        <f t="shared" si="6"/>
        <v>0</v>
      </c>
      <c r="R10" s="28">
        <f>P10</f>
        <v>0</v>
      </c>
      <c r="S10" s="28">
        <f>R10</f>
        <v>0</v>
      </c>
      <c r="T10" s="28">
        <f>S10</f>
        <v>0</v>
      </c>
      <c r="U10" s="22">
        <f t="shared" si="7"/>
        <v>0</v>
      </c>
      <c r="V10" s="144">
        <f t="shared" si="4"/>
        <v>0</v>
      </c>
    </row>
    <row r="11" spans="1:23" s="13" customFormat="1" ht="15.75" thickBot="1">
      <c r="A11" s="36" t="s">
        <v>32</v>
      </c>
      <c r="B11" s="37" t="s">
        <v>20</v>
      </c>
      <c r="C11" s="208"/>
      <c r="D11" s="38">
        <v>31507.26</v>
      </c>
      <c r="E11" s="208"/>
      <c r="F11" s="38">
        <v>28949.88</v>
      </c>
      <c r="G11" s="38">
        <v>28173.49</v>
      </c>
      <c r="H11" s="119">
        <f>D11+F11+G11+G12+D13+F13+G13</f>
        <v>134525.20000000001</v>
      </c>
      <c r="I11" s="38">
        <v>42561.26</v>
      </c>
      <c r="J11" s="38">
        <v>29730.71</v>
      </c>
      <c r="K11" s="38">
        <v>30087.84</v>
      </c>
      <c r="L11" s="68">
        <f>I11+J11+K11+I13+J13+K13</f>
        <v>151279.81</v>
      </c>
      <c r="M11" s="208"/>
      <c r="N11" s="40">
        <v>39887.17</v>
      </c>
      <c r="O11" s="40">
        <v>38711.15</v>
      </c>
      <c r="P11" s="40">
        <v>33952.239999999998</v>
      </c>
      <c r="Q11" s="68">
        <f>N11+O11+P11+P12+P13+O13+N13</f>
        <v>160997.44</v>
      </c>
      <c r="R11" s="40">
        <v>35283.730000000003</v>
      </c>
      <c r="S11" s="40">
        <v>40829.050000000003</v>
      </c>
      <c r="T11" s="40">
        <v>35931.14</v>
      </c>
      <c r="U11" s="68">
        <f>R11+S11+T11+T12+R13+S13+T13</f>
        <v>163560.02000000002</v>
      </c>
      <c r="V11" s="125">
        <f t="shared" si="4"/>
        <v>610362.47</v>
      </c>
    </row>
    <row r="12" spans="1:23" s="13" customFormat="1">
      <c r="A12" s="148"/>
      <c r="B12" s="45" t="s">
        <v>37</v>
      </c>
      <c r="C12" s="205"/>
      <c r="D12" s="46"/>
      <c r="E12" s="205"/>
      <c r="F12" s="46"/>
      <c r="G12" s="232">
        <v>894.57</v>
      </c>
      <c r="H12" s="98"/>
      <c r="I12" s="46"/>
      <c r="J12" s="46"/>
      <c r="K12" s="232">
        <v>1778.72</v>
      </c>
      <c r="L12" s="85"/>
      <c r="M12" s="205"/>
      <c r="N12" s="76"/>
      <c r="O12" s="76"/>
      <c r="P12" s="231">
        <f>1687.01+1759.87</f>
        <v>3446.88</v>
      </c>
      <c r="Q12" s="85"/>
      <c r="R12" s="76"/>
      <c r="S12" s="76"/>
      <c r="T12" s="231">
        <v>2616.1</v>
      </c>
      <c r="U12" s="85"/>
      <c r="V12" s="149">
        <f t="shared" si="4"/>
        <v>0</v>
      </c>
    </row>
    <row r="13" spans="1:23" s="13" customFormat="1">
      <c r="A13" s="143"/>
      <c r="B13" s="15" t="s">
        <v>87</v>
      </c>
      <c r="C13" s="207"/>
      <c r="D13" s="29">
        <v>15000</v>
      </c>
      <c r="E13" s="207"/>
      <c r="F13" s="29">
        <v>15000</v>
      </c>
      <c r="G13" s="29">
        <v>15000</v>
      </c>
      <c r="H13" s="20"/>
      <c r="I13" s="29">
        <v>15000</v>
      </c>
      <c r="J13" s="29">
        <v>15000</v>
      </c>
      <c r="K13" s="29">
        <v>18900</v>
      </c>
      <c r="L13" s="22"/>
      <c r="M13" s="207"/>
      <c r="N13" s="30">
        <v>15000</v>
      </c>
      <c r="O13" s="30">
        <v>15000</v>
      </c>
      <c r="P13" s="30">
        <v>15000</v>
      </c>
      <c r="Q13" s="22"/>
      <c r="R13" s="30">
        <v>15000</v>
      </c>
      <c r="S13" s="30">
        <v>15000</v>
      </c>
      <c r="T13" s="30">
        <v>18900</v>
      </c>
      <c r="U13" s="22"/>
      <c r="V13" s="144"/>
      <c r="W13" s="50"/>
    </row>
    <row r="14" spans="1:23" s="13" customFormat="1">
      <c r="A14" s="143"/>
      <c r="B14" s="15" t="s">
        <v>21</v>
      </c>
      <c r="C14" s="203"/>
      <c r="D14" s="25">
        <f>D11-D6</f>
        <v>-6683.3979999999974</v>
      </c>
      <c r="E14" s="203"/>
      <c r="F14" s="25">
        <f t="shared" ref="F14:U14" si="13">F11-F6</f>
        <v>-9240.7779999999948</v>
      </c>
      <c r="G14" s="25">
        <f t="shared" si="13"/>
        <v>-10017.167999999994</v>
      </c>
      <c r="H14" s="22">
        <f t="shared" si="13"/>
        <v>19937.256000000023</v>
      </c>
      <c r="I14" s="25">
        <f t="shared" si="13"/>
        <v>4370.6020000000062</v>
      </c>
      <c r="J14" s="25">
        <f t="shared" si="13"/>
        <v>-8459.9479999999967</v>
      </c>
      <c r="K14" s="25">
        <f t="shared" si="13"/>
        <v>-8102.8179999999957</v>
      </c>
      <c r="L14" s="22">
        <f t="shared" si="13"/>
        <v>36707.83600000001</v>
      </c>
      <c r="M14" s="203"/>
      <c r="N14" s="28">
        <f t="shared" si="13"/>
        <v>1696.5120000000024</v>
      </c>
      <c r="O14" s="28">
        <f t="shared" si="13"/>
        <v>-1225.2299999999886</v>
      </c>
      <c r="P14" s="28">
        <f t="shared" si="13"/>
        <v>-4238.4179999999978</v>
      </c>
      <c r="Q14" s="22">
        <f t="shared" si="13"/>
        <v>41188.300000000017</v>
      </c>
      <c r="R14" s="28">
        <f t="shared" si="13"/>
        <v>-4652.6499999999869</v>
      </c>
      <c r="S14" s="28">
        <f t="shared" si="13"/>
        <v>892.67000000001281</v>
      </c>
      <c r="T14" s="28">
        <f t="shared" si="13"/>
        <v>-4005.2399999999907</v>
      </c>
      <c r="U14" s="22">
        <f t="shared" si="13"/>
        <v>43750.880000000034</v>
      </c>
      <c r="V14" s="144">
        <f t="shared" ref="V14:V28" si="14">H14+L14+Q14+U14</f>
        <v>141584.27200000008</v>
      </c>
    </row>
    <row r="15" spans="1:23" s="13" customFormat="1" ht="32.25" customHeight="1">
      <c r="A15" s="141" t="s">
        <v>22</v>
      </c>
      <c r="B15" s="19" t="s">
        <v>23</v>
      </c>
      <c r="C15" s="203"/>
      <c r="D15" s="22">
        <f>SUM(D16:D24)</f>
        <v>34866.103999999999</v>
      </c>
      <c r="E15" s="203"/>
      <c r="F15" s="22">
        <f>SUM(F16:F24)</f>
        <v>36523.465999999993</v>
      </c>
      <c r="G15" s="22">
        <f>G16+G17+G18+G19+G20+G21+G22+G23+G24</f>
        <v>31167.465999999993</v>
      </c>
      <c r="H15" s="20">
        <f>SUM(D15:G15)</f>
        <v>102557.03599999999</v>
      </c>
      <c r="I15" s="22">
        <f>SUM(I16:I24)</f>
        <v>29481.465999999993</v>
      </c>
      <c r="J15" s="22">
        <f>SUM(J16:J24)</f>
        <v>30338.465999999993</v>
      </c>
      <c r="K15" s="22">
        <f>SUM(K16:K24)</f>
        <v>49533.845999999998</v>
      </c>
      <c r="L15" s="22">
        <f t="shared" ref="L15:L26" si="15">I15+J15+K15</f>
        <v>109353.77799999999</v>
      </c>
      <c r="M15" s="203"/>
      <c r="N15" s="22">
        <f>SUM(N16:N24)</f>
        <v>38400.465999999993</v>
      </c>
      <c r="O15" s="22">
        <f>SUM(O16:O24)</f>
        <v>37744.465999999993</v>
      </c>
      <c r="P15" s="22">
        <f>SUM(P16:P24)</f>
        <v>28393.465999999993</v>
      </c>
      <c r="Q15" s="20">
        <f>SUM(N15:P15)</f>
        <v>104538.39799999999</v>
      </c>
      <c r="R15" s="22">
        <f>SUM(R16:R24)</f>
        <v>38512.465999999993</v>
      </c>
      <c r="S15" s="22">
        <f>SUM(S16:S24)</f>
        <v>30558.465999999993</v>
      </c>
      <c r="T15" s="22">
        <f>SUM(T16:T24)</f>
        <v>36335.465999999993</v>
      </c>
      <c r="U15" s="20">
        <f>SUM(R15:T15)</f>
        <v>105406.39799999999</v>
      </c>
      <c r="V15" s="142">
        <f t="shared" si="14"/>
        <v>421855.60999999993</v>
      </c>
    </row>
    <row r="16" spans="1:23" s="13" customFormat="1">
      <c r="A16" s="143" t="s">
        <v>24</v>
      </c>
      <c r="B16" s="15" t="s">
        <v>17</v>
      </c>
      <c r="C16" s="203">
        <v>2.57</v>
      </c>
      <c r="D16" s="25">
        <f t="shared" ref="D16:D22" si="16">C16*$K$4</f>
        <v>6145.8979999999983</v>
      </c>
      <c r="E16" s="203">
        <v>2.8</v>
      </c>
      <c r="F16" s="25">
        <f>E16*K4</f>
        <v>6695.9199999999983</v>
      </c>
      <c r="G16" s="25">
        <f>E16*K4</f>
        <v>6695.9199999999983</v>
      </c>
      <c r="H16" s="20">
        <f>SUM(D16:G16)</f>
        <v>19540.537999999993</v>
      </c>
      <c r="I16" s="25">
        <f>E16*K4</f>
        <v>6695.9199999999983</v>
      </c>
      <c r="J16" s="25">
        <f>E16*K4</f>
        <v>6695.9199999999983</v>
      </c>
      <c r="K16" s="25">
        <f>E16*K4</f>
        <v>6695.9199999999983</v>
      </c>
      <c r="L16" s="22">
        <f t="shared" si="15"/>
        <v>20087.759999999995</v>
      </c>
      <c r="M16" s="203">
        <v>2.8</v>
      </c>
      <c r="N16" s="25">
        <f>E16*K4</f>
        <v>6695.9199999999983</v>
      </c>
      <c r="O16" s="25">
        <f>E16*K4</f>
        <v>6695.9199999999983</v>
      </c>
      <c r="P16" s="25">
        <f>E16*K4</f>
        <v>6695.9199999999983</v>
      </c>
      <c r="Q16" s="20">
        <f>SUM(N16:P16)</f>
        <v>20087.759999999995</v>
      </c>
      <c r="R16" s="25">
        <f>E16*K4</f>
        <v>6695.9199999999983</v>
      </c>
      <c r="S16" s="25">
        <f>E16*K4</f>
        <v>6695.9199999999983</v>
      </c>
      <c r="T16" s="25">
        <f>E16*K4</f>
        <v>6695.9199999999983</v>
      </c>
      <c r="U16" s="20">
        <f>SUM(R16:T16)</f>
        <v>20087.759999999995</v>
      </c>
      <c r="V16" s="144">
        <f t="shared" si="14"/>
        <v>79803.81799999997</v>
      </c>
    </row>
    <row r="17" spans="1:23" s="13" customFormat="1">
      <c r="A17" s="143" t="s">
        <v>25</v>
      </c>
      <c r="B17" s="15" t="s">
        <v>88</v>
      </c>
      <c r="C17" s="203">
        <v>2.99</v>
      </c>
      <c r="D17" s="25">
        <f t="shared" si="16"/>
        <v>7150.2859999999991</v>
      </c>
      <c r="E17" s="203">
        <v>3.99</v>
      </c>
      <c r="F17" s="25">
        <f>E17*K4</f>
        <v>9541.6859999999997</v>
      </c>
      <c r="G17" s="25">
        <f>E17*K4</f>
        <v>9541.6859999999997</v>
      </c>
      <c r="H17" s="20">
        <f>SUM(D17:G17)</f>
        <v>26237.648000000001</v>
      </c>
      <c r="I17" s="25">
        <f>E17*K4</f>
        <v>9541.6859999999997</v>
      </c>
      <c r="J17" s="25">
        <f>E17*K4</f>
        <v>9541.6859999999997</v>
      </c>
      <c r="K17" s="25">
        <f>J17</f>
        <v>9541.6859999999997</v>
      </c>
      <c r="L17" s="22">
        <f t="shared" si="15"/>
        <v>28625.057999999997</v>
      </c>
      <c r="M17" s="203">
        <v>3.99</v>
      </c>
      <c r="N17" s="28">
        <f>K17</f>
        <v>9541.6859999999997</v>
      </c>
      <c r="O17" s="28">
        <f>N17</f>
        <v>9541.6859999999997</v>
      </c>
      <c r="P17" s="28">
        <f>O17</f>
        <v>9541.6859999999997</v>
      </c>
      <c r="Q17" s="20">
        <f>SUM(N17:P17)</f>
        <v>28625.057999999997</v>
      </c>
      <c r="R17" s="28">
        <f>P17</f>
        <v>9541.6859999999997</v>
      </c>
      <c r="S17" s="28">
        <f>R17</f>
        <v>9541.6859999999997</v>
      </c>
      <c r="T17" s="28">
        <f>S17</f>
        <v>9541.6859999999997</v>
      </c>
      <c r="U17" s="20">
        <f>SUM(R17:T17)</f>
        <v>28625.057999999997</v>
      </c>
      <c r="V17" s="144">
        <f t="shared" si="14"/>
        <v>112112.82199999999</v>
      </c>
    </row>
    <row r="18" spans="1:23" s="13" customFormat="1" ht="15.75" thickBot="1">
      <c r="A18" s="146" t="s">
        <v>27</v>
      </c>
      <c r="B18" s="33" t="s">
        <v>30</v>
      </c>
      <c r="C18" s="204">
        <v>1.86</v>
      </c>
      <c r="D18" s="34">
        <f t="shared" si="16"/>
        <v>4448.0039999999999</v>
      </c>
      <c r="E18" s="204">
        <v>2.2000000000000002</v>
      </c>
      <c r="F18" s="34">
        <f>E18*K4</f>
        <v>5261.08</v>
      </c>
      <c r="G18" s="34">
        <f>E18*K4</f>
        <v>5261.08</v>
      </c>
      <c r="H18" s="66">
        <f t="shared" ref="H18:H27" si="17">SUM(D18:G18)</f>
        <v>14972.364</v>
      </c>
      <c r="I18" s="34">
        <f>E18*K4</f>
        <v>5261.08</v>
      </c>
      <c r="J18" s="34">
        <f>E18*K4</f>
        <v>5261.08</v>
      </c>
      <c r="K18" s="34">
        <f>E18*K4</f>
        <v>5261.08</v>
      </c>
      <c r="L18" s="84">
        <f t="shared" si="15"/>
        <v>15783.24</v>
      </c>
      <c r="M18" s="204">
        <v>2.2000000000000002</v>
      </c>
      <c r="N18" s="34">
        <f>E18*K4</f>
        <v>5261.08</v>
      </c>
      <c r="O18" s="34">
        <f>E18*K4</f>
        <v>5261.08</v>
      </c>
      <c r="P18" s="34">
        <f>E18*K4</f>
        <v>5261.08</v>
      </c>
      <c r="Q18" s="66">
        <f t="shared" ref="Q18:Q27" si="18">SUM(N18:P18)</f>
        <v>15783.24</v>
      </c>
      <c r="R18" s="34">
        <f>E18*K4</f>
        <v>5261.08</v>
      </c>
      <c r="S18" s="34">
        <f>E18*K4</f>
        <v>5261.08</v>
      </c>
      <c r="T18" s="34">
        <f>E18*K4</f>
        <v>5261.08</v>
      </c>
      <c r="U18" s="66">
        <f t="shared" ref="U18:U27" si="19">SUM(R18:T18)</f>
        <v>15783.24</v>
      </c>
      <c r="V18" s="147">
        <f t="shared" si="14"/>
        <v>62322.083999999995</v>
      </c>
    </row>
    <row r="19" spans="1:23" s="13" customFormat="1" ht="15.75" thickBot="1">
      <c r="A19" s="130" t="s">
        <v>28</v>
      </c>
      <c r="B19" s="131" t="s">
        <v>40</v>
      </c>
      <c r="C19" s="208"/>
      <c r="D19" s="38">
        <v>14874</v>
      </c>
      <c r="E19" s="208"/>
      <c r="F19" s="38">
        <v>8568</v>
      </c>
      <c r="G19" s="38">
        <v>3212</v>
      </c>
      <c r="H19" s="119">
        <f t="shared" si="17"/>
        <v>26654</v>
      </c>
      <c r="I19" s="38">
        <v>1526</v>
      </c>
      <c r="J19" s="38">
        <v>2383</v>
      </c>
      <c r="K19" s="38">
        <v>21161</v>
      </c>
      <c r="L19" s="68">
        <f t="shared" si="15"/>
        <v>25070</v>
      </c>
      <c r="M19" s="208"/>
      <c r="N19" s="40">
        <v>10445</v>
      </c>
      <c r="O19" s="115">
        <v>9789</v>
      </c>
      <c r="P19" s="40">
        <v>438</v>
      </c>
      <c r="Q19" s="119">
        <f t="shared" si="18"/>
        <v>20672</v>
      </c>
      <c r="R19" s="40">
        <v>10557</v>
      </c>
      <c r="S19" s="40">
        <v>2603</v>
      </c>
      <c r="T19" s="40">
        <v>8380</v>
      </c>
      <c r="U19" s="119">
        <f t="shared" si="19"/>
        <v>21540</v>
      </c>
      <c r="V19" s="125">
        <f t="shared" si="14"/>
        <v>93936</v>
      </c>
    </row>
    <row r="20" spans="1:23" s="13" customFormat="1">
      <c r="A20" s="148" t="s">
        <v>33</v>
      </c>
      <c r="B20" s="45" t="s">
        <v>39</v>
      </c>
      <c r="C20" s="205">
        <v>0.82</v>
      </c>
      <c r="D20" s="46">
        <f t="shared" si="16"/>
        <v>1960.9479999999996</v>
      </c>
      <c r="E20" s="205">
        <v>1</v>
      </c>
      <c r="F20" s="46">
        <f>E20*K4</f>
        <v>2391.3999999999996</v>
      </c>
      <c r="G20" s="46">
        <f>E20*K4</f>
        <v>2391.3999999999996</v>
      </c>
      <c r="H20" s="98">
        <f t="shared" si="17"/>
        <v>6744.7479999999987</v>
      </c>
      <c r="I20" s="46">
        <f>G20</f>
        <v>2391.3999999999996</v>
      </c>
      <c r="J20" s="46">
        <f>I20</f>
        <v>2391.3999999999996</v>
      </c>
      <c r="K20" s="46">
        <f>J20</f>
        <v>2391.3999999999996</v>
      </c>
      <c r="L20" s="85">
        <f t="shared" si="15"/>
        <v>7174.1999999999989</v>
      </c>
      <c r="M20" s="205">
        <v>1</v>
      </c>
      <c r="N20" s="76">
        <f>K20</f>
        <v>2391.3999999999996</v>
      </c>
      <c r="O20" s="76">
        <f t="shared" ref="O20:P22" si="20">N20</f>
        <v>2391.3999999999996</v>
      </c>
      <c r="P20" s="76">
        <f t="shared" si="20"/>
        <v>2391.3999999999996</v>
      </c>
      <c r="Q20" s="98">
        <f t="shared" si="18"/>
        <v>7174.1999999999989</v>
      </c>
      <c r="R20" s="76">
        <f>P20</f>
        <v>2391.3999999999996</v>
      </c>
      <c r="S20" s="76">
        <f t="shared" ref="S20:T22" si="21">R20</f>
        <v>2391.3999999999996</v>
      </c>
      <c r="T20" s="76">
        <f t="shared" si="21"/>
        <v>2391.3999999999996</v>
      </c>
      <c r="U20" s="98">
        <f t="shared" si="19"/>
        <v>7174.1999999999989</v>
      </c>
      <c r="V20" s="149">
        <f t="shared" si="14"/>
        <v>28267.347999999991</v>
      </c>
    </row>
    <row r="21" spans="1:23" s="13" customFormat="1">
      <c r="A21" s="143" t="s">
        <v>34</v>
      </c>
      <c r="B21" s="15" t="s">
        <v>41</v>
      </c>
      <c r="C21" s="203">
        <v>0.12</v>
      </c>
      <c r="D21" s="25">
        <f t="shared" si="16"/>
        <v>286.96799999999996</v>
      </c>
      <c r="E21" s="203">
        <v>0.2</v>
      </c>
      <c r="F21" s="25">
        <f>E21*K4</f>
        <v>478.28</v>
      </c>
      <c r="G21" s="25">
        <f>E21*K4</f>
        <v>478.28</v>
      </c>
      <c r="H21" s="20">
        <f t="shared" si="17"/>
        <v>1243.7279999999998</v>
      </c>
      <c r="I21" s="25">
        <f>G21</f>
        <v>478.28</v>
      </c>
      <c r="J21" s="25">
        <f>I21</f>
        <v>478.28</v>
      </c>
      <c r="K21" s="25">
        <f>J21</f>
        <v>478.28</v>
      </c>
      <c r="L21" s="22">
        <f t="shared" si="15"/>
        <v>1434.84</v>
      </c>
      <c r="M21" s="203">
        <v>0.2</v>
      </c>
      <c r="N21" s="28">
        <f>K21</f>
        <v>478.28</v>
      </c>
      <c r="O21" s="28">
        <f t="shared" si="20"/>
        <v>478.28</v>
      </c>
      <c r="P21" s="28">
        <f t="shared" si="20"/>
        <v>478.28</v>
      </c>
      <c r="Q21" s="20">
        <f t="shared" si="18"/>
        <v>1434.84</v>
      </c>
      <c r="R21" s="28">
        <f>P21</f>
        <v>478.28</v>
      </c>
      <c r="S21" s="28">
        <f t="shared" si="21"/>
        <v>478.28</v>
      </c>
      <c r="T21" s="28">
        <f t="shared" si="21"/>
        <v>478.28</v>
      </c>
      <c r="U21" s="20">
        <f t="shared" si="19"/>
        <v>1434.84</v>
      </c>
      <c r="V21" s="144">
        <f t="shared" si="14"/>
        <v>5548.2479999999996</v>
      </c>
    </row>
    <row r="22" spans="1:23" s="13" customFormat="1">
      <c r="A22" s="143" t="s">
        <v>35</v>
      </c>
      <c r="B22" s="15" t="s">
        <v>89</v>
      </c>
      <c r="C22" s="203"/>
      <c r="D22" s="25">
        <f t="shared" si="16"/>
        <v>0</v>
      </c>
      <c r="E22" s="203"/>
      <c r="F22" s="25">
        <f t="shared" ref="F22" si="22">C22*$K$4</f>
        <v>0</v>
      </c>
      <c r="G22" s="25">
        <f t="shared" ref="G22" si="23">C22*$K$4</f>
        <v>0</v>
      </c>
      <c r="H22" s="20">
        <f t="shared" si="17"/>
        <v>0</v>
      </c>
      <c r="I22" s="25">
        <f t="shared" ref="I22" si="24">C22*$K$4</f>
        <v>0</v>
      </c>
      <c r="J22" s="25">
        <f t="shared" ref="J22" si="25">C22*$K$4</f>
        <v>0</v>
      </c>
      <c r="K22" s="25">
        <v>0</v>
      </c>
      <c r="L22" s="22">
        <f t="shared" si="15"/>
        <v>0</v>
      </c>
      <c r="M22" s="203"/>
      <c r="N22" s="28">
        <f>K22</f>
        <v>0</v>
      </c>
      <c r="O22" s="28">
        <f t="shared" si="20"/>
        <v>0</v>
      </c>
      <c r="P22" s="28">
        <f t="shared" si="20"/>
        <v>0</v>
      </c>
      <c r="Q22" s="20">
        <f t="shared" si="18"/>
        <v>0</v>
      </c>
      <c r="R22" s="28">
        <f>P22</f>
        <v>0</v>
      </c>
      <c r="S22" s="28">
        <f t="shared" si="21"/>
        <v>0</v>
      </c>
      <c r="T22" s="28">
        <f t="shared" si="21"/>
        <v>0</v>
      </c>
      <c r="U22" s="20">
        <f t="shared" si="19"/>
        <v>0</v>
      </c>
      <c r="V22" s="144">
        <f t="shared" si="14"/>
        <v>0</v>
      </c>
    </row>
    <row r="23" spans="1:23" s="13" customFormat="1">
      <c r="A23" s="143" t="s">
        <v>124</v>
      </c>
      <c r="B23" s="15" t="s">
        <v>123</v>
      </c>
      <c r="C23" s="203"/>
      <c r="D23" s="25"/>
      <c r="E23" s="203">
        <v>1.5</v>
      </c>
      <c r="F23" s="25">
        <f>E23*K4</f>
        <v>3587.0999999999995</v>
      </c>
      <c r="G23" s="25">
        <f>E23*K4</f>
        <v>3587.0999999999995</v>
      </c>
      <c r="H23" s="20">
        <f>G23+F23+D23</f>
        <v>7174.1999999999989</v>
      </c>
      <c r="I23" s="25">
        <f>G23</f>
        <v>3587.0999999999995</v>
      </c>
      <c r="J23" s="25">
        <f>I23</f>
        <v>3587.0999999999995</v>
      </c>
      <c r="K23" s="25">
        <f>J23</f>
        <v>3587.0999999999995</v>
      </c>
      <c r="L23" s="22">
        <f>K23+J23+I23</f>
        <v>10761.3</v>
      </c>
      <c r="M23" s="203">
        <v>1.5</v>
      </c>
      <c r="N23" s="28">
        <f>K23</f>
        <v>3587.0999999999995</v>
      </c>
      <c r="O23" s="28">
        <f>N23</f>
        <v>3587.0999999999995</v>
      </c>
      <c r="P23" s="28">
        <f>O23</f>
        <v>3587.0999999999995</v>
      </c>
      <c r="Q23" s="20">
        <f>P23+O23+N23</f>
        <v>10761.3</v>
      </c>
      <c r="R23" s="28">
        <f>P23</f>
        <v>3587.0999999999995</v>
      </c>
      <c r="S23" s="28">
        <f>R23</f>
        <v>3587.0999999999995</v>
      </c>
      <c r="T23" s="28">
        <f>S23</f>
        <v>3587.0999999999995</v>
      </c>
      <c r="U23" s="20">
        <f>T23+S23+R23</f>
        <v>10761.3</v>
      </c>
      <c r="V23" s="144">
        <f t="shared" si="14"/>
        <v>39458.1</v>
      </c>
    </row>
    <row r="24" spans="1:23" s="13" customFormat="1">
      <c r="A24" s="143" t="s">
        <v>125</v>
      </c>
      <c r="B24" s="15" t="s">
        <v>90</v>
      </c>
      <c r="C24" s="207"/>
      <c r="D24" s="25">
        <f>SUM(D26:D27)</f>
        <v>0</v>
      </c>
      <c r="E24" s="207"/>
      <c r="F24" s="25">
        <f>SUM(F26:F27)</f>
        <v>0</v>
      </c>
      <c r="G24" s="25">
        <f>SUM(G26:G27)</f>
        <v>0</v>
      </c>
      <c r="H24" s="20">
        <f t="shared" si="17"/>
        <v>0</v>
      </c>
      <c r="I24" s="25">
        <f>SUM(I26:I27)</f>
        <v>0</v>
      </c>
      <c r="J24" s="25">
        <f>SUM(J26:J27)</f>
        <v>0</v>
      </c>
      <c r="K24" s="25">
        <f>SUM(K26:K27)</f>
        <v>417.38</v>
      </c>
      <c r="L24" s="22">
        <f t="shared" si="15"/>
        <v>417.38</v>
      </c>
      <c r="M24" s="207"/>
      <c r="N24" s="28">
        <f>SUM(N26:N27)</f>
        <v>0</v>
      </c>
      <c r="O24" s="28">
        <f>SUM(O26:O27)</f>
        <v>0</v>
      </c>
      <c r="P24" s="28">
        <f>SUM(P26:P27)</f>
        <v>0</v>
      </c>
      <c r="Q24" s="20">
        <f t="shared" si="18"/>
        <v>0</v>
      </c>
      <c r="R24" s="28">
        <f>SUM(R26:R27)</f>
        <v>0</v>
      </c>
      <c r="S24" s="28">
        <f>SUM(S26:S27)</f>
        <v>0</v>
      </c>
      <c r="T24" s="28">
        <f>SUM(T26:T27)</f>
        <v>0</v>
      </c>
      <c r="U24" s="20">
        <f t="shared" si="19"/>
        <v>0</v>
      </c>
      <c r="V24" s="144">
        <f t="shared" si="14"/>
        <v>417.38</v>
      </c>
    </row>
    <row r="25" spans="1:23" s="13" customFormat="1">
      <c r="A25" s="143"/>
      <c r="B25" s="15" t="s">
        <v>44</v>
      </c>
      <c r="C25" s="207"/>
      <c r="D25" s="25"/>
      <c r="E25" s="207"/>
      <c r="F25" s="25"/>
      <c r="G25" s="25"/>
      <c r="H25" s="20">
        <f t="shared" si="17"/>
        <v>0</v>
      </c>
      <c r="I25" s="25"/>
      <c r="J25" s="25"/>
      <c r="K25" s="25"/>
      <c r="L25" s="22">
        <f t="shared" si="15"/>
        <v>0</v>
      </c>
      <c r="M25" s="207"/>
      <c r="N25" s="28"/>
      <c r="O25" s="28"/>
      <c r="P25" s="28"/>
      <c r="Q25" s="20">
        <f t="shared" si="18"/>
        <v>0</v>
      </c>
      <c r="R25" s="28"/>
      <c r="S25" s="28"/>
      <c r="T25" s="28"/>
      <c r="U25" s="20">
        <f t="shared" si="19"/>
        <v>0</v>
      </c>
      <c r="V25" s="144">
        <f t="shared" si="14"/>
        <v>0</v>
      </c>
    </row>
    <row r="26" spans="1:23" s="13" customFormat="1">
      <c r="A26" s="143"/>
      <c r="B26" s="15" t="s">
        <v>91</v>
      </c>
      <c r="C26" s="207"/>
      <c r="D26" s="25"/>
      <c r="E26" s="207"/>
      <c r="F26" s="25"/>
      <c r="G26" s="25"/>
      <c r="H26" s="20">
        <f t="shared" si="17"/>
        <v>0</v>
      </c>
      <c r="I26" s="25"/>
      <c r="J26" s="25"/>
      <c r="K26" s="29">
        <f>200+217.38</f>
        <v>417.38</v>
      </c>
      <c r="L26" s="22">
        <f t="shared" si="15"/>
        <v>417.38</v>
      </c>
      <c r="M26" s="207"/>
      <c r="N26" s="28"/>
      <c r="O26" s="28"/>
      <c r="P26" s="28"/>
      <c r="Q26" s="20">
        <f t="shared" si="18"/>
        <v>0</v>
      </c>
      <c r="R26" s="28"/>
      <c r="S26" s="28"/>
      <c r="T26" s="28"/>
      <c r="U26" s="20">
        <f t="shared" si="19"/>
        <v>0</v>
      </c>
      <c r="V26" s="144">
        <f t="shared" si="14"/>
        <v>417.38</v>
      </c>
    </row>
    <row r="27" spans="1:23" s="13" customFormat="1">
      <c r="A27" s="143"/>
      <c r="B27" s="15" t="s">
        <v>53</v>
      </c>
      <c r="C27" s="207"/>
      <c r="D27" s="25"/>
      <c r="E27" s="207"/>
      <c r="F27" s="25"/>
      <c r="G27" s="25"/>
      <c r="H27" s="20">
        <f t="shared" si="17"/>
        <v>0</v>
      </c>
      <c r="I27" s="25"/>
      <c r="J27" s="25"/>
      <c r="K27" s="25"/>
      <c r="L27" s="20">
        <f t="shared" ref="L27" si="26">SUM(I27:K27)</f>
        <v>0</v>
      </c>
      <c r="M27" s="207"/>
      <c r="N27" s="28"/>
      <c r="O27" s="28"/>
      <c r="P27" s="28"/>
      <c r="Q27" s="20">
        <f t="shared" si="18"/>
        <v>0</v>
      </c>
      <c r="R27" s="28"/>
      <c r="S27" s="28"/>
      <c r="T27" s="28"/>
      <c r="U27" s="20">
        <f t="shared" si="19"/>
        <v>0</v>
      </c>
      <c r="V27" s="144">
        <f t="shared" si="14"/>
        <v>0</v>
      </c>
    </row>
    <row r="28" spans="1:23" s="13" customFormat="1" ht="15.75" thickBot="1">
      <c r="A28" s="173"/>
      <c r="B28" s="151" t="s">
        <v>43</v>
      </c>
      <c r="C28" s="210"/>
      <c r="D28" s="153">
        <v>240293</v>
      </c>
      <c r="E28" s="210"/>
      <c r="F28" s="154"/>
      <c r="G28" s="154"/>
      <c r="H28" s="155">
        <f>H11-H15</f>
        <v>31968.164000000019</v>
      </c>
      <c r="I28" s="154"/>
      <c r="J28" s="154"/>
      <c r="K28" s="154"/>
      <c r="L28" s="155">
        <f>L11-L15</f>
        <v>41926.032000000007</v>
      </c>
      <c r="M28" s="210"/>
      <c r="N28" s="157"/>
      <c r="O28" s="157"/>
      <c r="P28" s="156"/>
      <c r="Q28" s="155">
        <f>Q11-Q15</f>
        <v>56459.042000000016</v>
      </c>
      <c r="R28" s="156"/>
      <c r="S28" s="156"/>
      <c r="T28" s="156"/>
      <c r="U28" s="155">
        <f>U11-U15</f>
        <v>58153.622000000032</v>
      </c>
      <c r="V28" s="158">
        <f t="shared" si="14"/>
        <v>188506.86000000007</v>
      </c>
      <c r="W28" s="126">
        <f>D28+V28</f>
        <v>428799.8600000001</v>
      </c>
    </row>
    <row r="29" spans="1:23" s="13" customFormat="1">
      <c r="D29" s="50"/>
      <c r="E29" s="50"/>
      <c r="H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3">
      <c r="H30" s="1"/>
    </row>
  </sheetData>
  <mergeCells count="4">
    <mergeCell ref="A1:L1"/>
    <mergeCell ref="A2:L2"/>
    <mergeCell ref="A3:L3"/>
    <mergeCell ref="S3:W3"/>
  </mergeCells>
  <pageMargins left="0" right="0" top="0" bottom="0" header="0.31496062992125984" footer="0"/>
  <pageSetup paperSize="9" scale="60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8"/>
  <sheetViews>
    <sheetView zoomScaleNormal="100" workbookViewId="0">
      <selection activeCell="U30" sqref="U30"/>
    </sheetView>
  </sheetViews>
  <sheetFormatPr defaultRowHeight="15"/>
  <cols>
    <col min="1" max="1" width="5.5703125" customWidth="1"/>
    <col min="2" max="2" width="39.28515625" customWidth="1"/>
    <col min="12" max="12" width="9.7109375" customWidth="1"/>
  </cols>
  <sheetData>
    <row r="1" spans="1:21" s="13" customForma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Q1" s="13" t="s">
        <v>94</v>
      </c>
    </row>
    <row r="2" spans="1:21" s="13" customFormat="1">
      <c r="A2" s="368" t="s">
        <v>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Q2" s="13" t="s">
        <v>95</v>
      </c>
    </row>
    <row r="3" spans="1:21" s="13" customFormat="1">
      <c r="A3" s="370" t="s">
        <v>106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Q3" s="373" t="s">
        <v>138</v>
      </c>
      <c r="R3" s="373"/>
      <c r="S3" s="373"/>
      <c r="T3" s="373"/>
      <c r="U3" s="373"/>
    </row>
    <row r="4" spans="1:21" s="13" customFormat="1" ht="15.75" thickBot="1">
      <c r="B4" s="13" t="s">
        <v>98</v>
      </c>
      <c r="K4" s="13">
        <v>2681.5</v>
      </c>
    </row>
    <row r="5" spans="1:21" s="13" customFormat="1">
      <c r="A5" s="134"/>
      <c r="B5" s="135" t="s">
        <v>2</v>
      </c>
      <c r="C5" s="175" t="s">
        <v>93</v>
      </c>
      <c r="D5" s="135" t="s">
        <v>4</v>
      </c>
      <c r="E5" s="295" t="s">
        <v>93</v>
      </c>
      <c r="F5" s="135" t="s">
        <v>5</v>
      </c>
      <c r="G5" s="135" t="s">
        <v>6</v>
      </c>
      <c r="H5" s="137" t="s">
        <v>7</v>
      </c>
      <c r="I5" s="135" t="s">
        <v>8</v>
      </c>
      <c r="J5" s="135" t="s">
        <v>9</v>
      </c>
      <c r="K5" s="135" t="s">
        <v>10</v>
      </c>
      <c r="L5" s="139" t="s">
        <v>11</v>
      </c>
      <c r="M5" s="138" t="s">
        <v>54</v>
      </c>
      <c r="N5" s="138" t="s">
        <v>55</v>
      </c>
      <c r="O5" s="138" t="s">
        <v>56</v>
      </c>
      <c r="P5" s="139" t="s">
        <v>57</v>
      </c>
      <c r="Q5" s="138" t="s">
        <v>63</v>
      </c>
      <c r="R5" s="138" t="s">
        <v>64</v>
      </c>
      <c r="S5" s="138" t="s">
        <v>65</v>
      </c>
      <c r="T5" s="139" t="s">
        <v>66</v>
      </c>
      <c r="U5" s="176" t="s">
        <v>71</v>
      </c>
    </row>
    <row r="6" spans="1:21" s="13" customFormat="1" ht="28.5" customHeight="1">
      <c r="A6" s="141" t="s">
        <v>12</v>
      </c>
      <c r="B6" s="19" t="s">
        <v>13</v>
      </c>
      <c r="C6" s="20"/>
      <c r="D6" s="20">
        <f>SUM(D7:D10)</f>
        <v>39659.385000000002</v>
      </c>
      <c r="E6" s="296"/>
      <c r="F6" s="20">
        <f t="shared" ref="F6:T6" si="0">SUM(F7:F10)</f>
        <v>39659.385000000002</v>
      </c>
      <c r="G6" s="20">
        <f t="shared" si="0"/>
        <v>39659.385000000002</v>
      </c>
      <c r="H6" s="20">
        <f t="shared" si="0"/>
        <v>118992.94499999999</v>
      </c>
      <c r="I6" s="20">
        <f t="shared" si="0"/>
        <v>39659.385000000002</v>
      </c>
      <c r="J6" s="20">
        <f t="shared" si="0"/>
        <v>39659.385000000002</v>
      </c>
      <c r="K6" s="20">
        <f t="shared" si="0"/>
        <v>39659.385000000002</v>
      </c>
      <c r="L6" s="20">
        <f t="shared" si="0"/>
        <v>118978.155</v>
      </c>
      <c r="M6" s="20">
        <f t="shared" si="0"/>
        <v>39659.385000000002</v>
      </c>
      <c r="N6" s="20">
        <f t="shared" si="0"/>
        <v>39659.385000000002</v>
      </c>
      <c r="O6" s="20">
        <f t="shared" si="0"/>
        <v>39659.385000000002</v>
      </c>
      <c r="P6" s="20">
        <f t="shared" si="0"/>
        <v>118978.155</v>
      </c>
      <c r="Q6" s="20">
        <f t="shared" si="0"/>
        <v>39659.385000000002</v>
      </c>
      <c r="R6" s="20">
        <f t="shared" si="0"/>
        <v>39659.385000000002</v>
      </c>
      <c r="S6" s="20">
        <f t="shared" si="0"/>
        <v>39659.385000000002</v>
      </c>
      <c r="T6" s="20">
        <f t="shared" si="0"/>
        <v>118978.155</v>
      </c>
      <c r="U6" s="142">
        <f t="shared" ref="U6:U11" si="1">H6+L6+P6+T6</f>
        <v>475927.41000000003</v>
      </c>
    </row>
    <row r="7" spans="1:21" s="13" customFormat="1">
      <c r="A7" s="143" t="s">
        <v>14</v>
      </c>
      <c r="B7" s="15" t="s">
        <v>15</v>
      </c>
      <c r="C7" s="70">
        <v>12.22</v>
      </c>
      <c r="D7" s="25">
        <f>C7*$K$4</f>
        <v>32767.93</v>
      </c>
      <c r="E7" s="288">
        <v>11.99</v>
      </c>
      <c r="F7" s="25">
        <f>E7*K4</f>
        <v>32151.185000000001</v>
      </c>
      <c r="G7" s="25">
        <f>F7</f>
        <v>32151.185000000001</v>
      </c>
      <c r="H7" s="20">
        <f>SUM(D7:G7)</f>
        <v>97082.29</v>
      </c>
      <c r="I7" s="25">
        <f>G7</f>
        <v>32151.185000000001</v>
      </c>
      <c r="J7" s="25">
        <f>I7</f>
        <v>32151.185000000001</v>
      </c>
      <c r="K7" s="25">
        <f>J7</f>
        <v>32151.185000000001</v>
      </c>
      <c r="L7" s="22">
        <f>SUM(I7:K7)</f>
        <v>96453.555000000008</v>
      </c>
      <c r="M7" s="28">
        <f>K7</f>
        <v>32151.185000000001</v>
      </c>
      <c r="N7" s="28">
        <f>M7</f>
        <v>32151.185000000001</v>
      </c>
      <c r="O7" s="28">
        <f>N7</f>
        <v>32151.185000000001</v>
      </c>
      <c r="P7" s="22">
        <f>SUM(M7:O7)</f>
        <v>96453.555000000008</v>
      </c>
      <c r="Q7" s="28">
        <f>O7</f>
        <v>32151.185000000001</v>
      </c>
      <c r="R7" s="28">
        <f>Q7</f>
        <v>32151.185000000001</v>
      </c>
      <c r="S7" s="28">
        <f>R7</f>
        <v>32151.185000000001</v>
      </c>
      <c r="T7" s="22">
        <f>SUM(Q7:S7)</f>
        <v>96453.555000000008</v>
      </c>
      <c r="U7" s="144">
        <f t="shared" si="1"/>
        <v>386442.95500000002</v>
      </c>
    </row>
    <row r="8" spans="1:21" s="13" customFormat="1">
      <c r="A8" s="143" t="s">
        <v>16</v>
      </c>
      <c r="B8" s="15" t="s">
        <v>17</v>
      </c>
      <c r="C8" s="70">
        <v>2.57</v>
      </c>
      <c r="D8" s="25">
        <f t="shared" ref="D8:D10" si="2">C8*$K$4</f>
        <v>6891.4549999999999</v>
      </c>
      <c r="E8" s="288">
        <v>2.8</v>
      </c>
      <c r="F8" s="25">
        <f>E8*K4</f>
        <v>7508.2</v>
      </c>
      <c r="G8" s="25">
        <f>E8*K4</f>
        <v>7508.2</v>
      </c>
      <c r="H8" s="20">
        <f t="shared" ref="H8:H10" si="3">SUM(D8:G8)</f>
        <v>21910.654999999999</v>
      </c>
      <c r="I8" s="25">
        <f>E8*K4</f>
        <v>7508.2</v>
      </c>
      <c r="J8" s="25">
        <f>E8*K4</f>
        <v>7508.2</v>
      </c>
      <c r="K8" s="25">
        <f>E8*K4</f>
        <v>7508.2</v>
      </c>
      <c r="L8" s="22">
        <f t="shared" ref="L8:L10" si="4">SUM(I8:K8)</f>
        <v>22524.6</v>
      </c>
      <c r="M8" s="25">
        <f>E8*K4</f>
        <v>7508.2</v>
      </c>
      <c r="N8" s="25">
        <f>E8*K4</f>
        <v>7508.2</v>
      </c>
      <c r="O8" s="25">
        <f>E8*K4</f>
        <v>7508.2</v>
      </c>
      <c r="P8" s="22">
        <f t="shared" ref="P8:P10" si="5">SUM(M8:O8)</f>
        <v>22524.6</v>
      </c>
      <c r="Q8" s="25">
        <f>E8*K4</f>
        <v>7508.2</v>
      </c>
      <c r="R8" s="25">
        <f>E8*K4</f>
        <v>7508.2</v>
      </c>
      <c r="S8" s="25">
        <f>E8*K4</f>
        <v>7508.2</v>
      </c>
      <c r="T8" s="22">
        <f t="shared" ref="T8:T10" si="6">SUM(Q8:S8)</f>
        <v>22524.6</v>
      </c>
      <c r="U8" s="144">
        <f t="shared" si="1"/>
        <v>89484.454999999987</v>
      </c>
    </row>
    <row r="9" spans="1:21" s="13" customFormat="1">
      <c r="A9" s="143" t="s">
        <v>18</v>
      </c>
      <c r="B9" s="15" t="s">
        <v>30</v>
      </c>
      <c r="C9" s="70">
        <v>0</v>
      </c>
      <c r="D9" s="25">
        <f t="shared" si="2"/>
        <v>0</v>
      </c>
      <c r="E9" s="288">
        <v>0</v>
      </c>
      <c r="F9" s="25">
        <f t="shared" ref="F9:F10" si="7">C9*$K$4</f>
        <v>0</v>
      </c>
      <c r="G9" s="25">
        <f t="shared" ref="G9:G10" si="8">C9*$K$4</f>
        <v>0</v>
      </c>
      <c r="H9" s="20">
        <f t="shared" si="3"/>
        <v>0</v>
      </c>
      <c r="I9" s="25">
        <f t="shared" ref="I9:I10" si="9">C9*$K$4</f>
        <v>0</v>
      </c>
      <c r="J9" s="25">
        <f t="shared" ref="J9:J10" si="10">C9*$K$4</f>
        <v>0</v>
      </c>
      <c r="K9" s="25">
        <f t="shared" ref="K9:K10" si="11">C9*$K$4</f>
        <v>0</v>
      </c>
      <c r="L9" s="22">
        <f t="shared" si="4"/>
        <v>0</v>
      </c>
      <c r="M9" s="28">
        <f t="shared" ref="M9:M10" si="12">C9*$K$4</f>
        <v>0</v>
      </c>
      <c r="N9" s="28">
        <f t="shared" ref="N9:N10" si="13">C9*$K$4</f>
        <v>0</v>
      </c>
      <c r="O9" s="28">
        <f t="shared" ref="O9:O10" si="14">C9*$K$4</f>
        <v>0</v>
      </c>
      <c r="P9" s="22">
        <f t="shared" si="5"/>
        <v>0</v>
      </c>
      <c r="Q9" s="28">
        <f t="shared" ref="Q9:Q10" si="15">C9*$K$4</f>
        <v>0</v>
      </c>
      <c r="R9" s="28">
        <f t="shared" ref="R9:R10" si="16">C9*$K$4</f>
        <v>0</v>
      </c>
      <c r="S9" s="28">
        <f t="shared" ref="S9:S10" si="17">C9*$K$4</f>
        <v>0</v>
      </c>
      <c r="T9" s="22">
        <f t="shared" si="6"/>
        <v>0</v>
      </c>
      <c r="U9" s="144">
        <f t="shared" si="1"/>
        <v>0</v>
      </c>
    </row>
    <row r="10" spans="1:21" s="13" customFormat="1" ht="15.75" thickBot="1">
      <c r="A10" s="146" t="s">
        <v>31</v>
      </c>
      <c r="B10" s="33" t="s">
        <v>19</v>
      </c>
      <c r="C10" s="233"/>
      <c r="D10" s="34">
        <f t="shared" si="2"/>
        <v>0</v>
      </c>
      <c r="E10" s="303"/>
      <c r="F10" s="34">
        <f t="shared" si="7"/>
        <v>0</v>
      </c>
      <c r="G10" s="34">
        <f t="shared" si="8"/>
        <v>0</v>
      </c>
      <c r="H10" s="66">
        <f t="shared" si="3"/>
        <v>0</v>
      </c>
      <c r="I10" s="34">
        <f t="shared" si="9"/>
        <v>0</v>
      </c>
      <c r="J10" s="34">
        <f t="shared" si="10"/>
        <v>0</v>
      </c>
      <c r="K10" s="34">
        <f t="shared" si="11"/>
        <v>0</v>
      </c>
      <c r="L10" s="84">
        <f t="shared" si="4"/>
        <v>0</v>
      </c>
      <c r="M10" s="58">
        <f t="shared" si="12"/>
        <v>0</v>
      </c>
      <c r="N10" s="58">
        <f t="shared" si="13"/>
        <v>0</v>
      </c>
      <c r="O10" s="58">
        <f t="shared" si="14"/>
        <v>0</v>
      </c>
      <c r="P10" s="84">
        <f t="shared" si="5"/>
        <v>0</v>
      </c>
      <c r="Q10" s="58">
        <f t="shared" si="15"/>
        <v>0</v>
      </c>
      <c r="R10" s="58">
        <f t="shared" si="16"/>
        <v>0</v>
      </c>
      <c r="S10" s="58">
        <f t="shared" si="17"/>
        <v>0</v>
      </c>
      <c r="T10" s="84">
        <f t="shared" si="6"/>
        <v>0</v>
      </c>
      <c r="U10" s="147">
        <f t="shared" si="1"/>
        <v>0</v>
      </c>
    </row>
    <row r="11" spans="1:21" s="13" customFormat="1" ht="15.75" thickBot="1">
      <c r="A11" s="36" t="s">
        <v>32</v>
      </c>
      <c r="B11" s="37" t="s">
        <v>20</v>
      </c>
      <c r="C11" s="174"/>
      <c r="D11" s="38">
        <v>39430.44</v>
      </c>
      <c r="E11" s="304"/>
      <c r="F11" s="38">
        <v>33703.300000000003</v>
      </c>
      <c r="G11" s="38">
        <v>43746.1</v>
      </c>
      <c r="H11" s="119">
        <f>D11+F11+G11</f>
        <v>116879.84</v>
      </c>
      <c r="I11" s="38">
        <v>33002.58</v>
      </c>
      <c r="J11" s="38">
        <v>33387.72</v>
      </c>
      <c r="K11" s="38">
        <v>29416.35</v>
      </c>
      <c r="L11" s="68">
        <f>I11+J11+K11+K12</f>
        <v>102706.65</v>
      </c>
      <c r="M11" s="40">
        <v>44335.7</v>
      </c>
      <c r="N11" s="40">
        <v>35012.620000000003</v>
      </c>
      <c r="O11" s="40">
        <v>42625.15</v>
      </c>
      <c r="P11" s="68">
        <f>M11+N11+O11</f>
        <v>121973.47</v>
      </c>
      <c r="Q11" s="40">
        <v>33576.410000000003</v>
      </c>
      <c r="R11" s="40">
        <v>39525.71</v>
      </c>
      <c r="S11" s="40">
        <v>57515.08</v>
      </c>
      <c r="T11" s="68">
        <f>SUM(Q11:S11)+S12</f>
        <v>139317.20000000001</v>
      </c>
      <c r="U11" s="125">
        <f t="shared" si="1"/>
        <v>480877.16</v>
      </c>
    </row>
    <row r="12" spans="1:21" s="13" customFormat="1">
      <c r="A12" s="148"/>
      <c r="B12" s="45" t="s">
        <v>87</v>
      </c>
      <c r="C12" s="234"/>
      <c r="D12" s="46"/>
      <c r="E12" s="305"/>
      <c r="F12" s="46"/>
      <c r="G12" s="46"/>
      <c r="H12" s="98"/>
      <c r="I12" s="46"/>
      <c r="J12" s="46"/>
      <c r="K12" s="232">
        <v>6900</v>
      </c>
      <c r="L12" s="85"/>
      <c r="M12" s="76"/>
      <c r="N12" s="76"/>
      <c r="O12" s="76"/>
      <c r="P12" s="85"/>
      <c r="Q12" s="76"/>
      <c r="R12" s="76"/>
      <c r="S12" s="231">
        <f>6900+1800</f>
        <v>8700</v>
      </c>
      <c r="T12" s="85"/>
      <c r="U12" s="149"/>
    </row>
    <row r="13" spans="1:21" s="13" customFormat="1">
      <c r="A13" s="143"/>
      <c r="B13" s="15" t="s">
        <v>21</v>
      </c>
      <c r="C13" s="65"/>
      <c r="D13" s="25">
        <f>D11-D6</f>
        <v>-228.94499999999971</v>
      </c>
      <c r="E13" s="294"/>
      <c r="F13" s="25">
        <f t="shared" ref="F13:T13" si="18">F11-F6</f>
        <v>-5956.0849999999991</v>
      </c>
      <c r="G13" s="25">
        <f t="shared" si="18"/>
        <v>4086.7149999999965</v>
      </c>
      <c r="H13" s="22">
        <f t="shared" si="18"/>
        <v>-2113.1049999999959</v>
      </c>
      <c r="I13" s="25">
        <f t="shared" si="18"/>
        <v>-6656.8050000000003</v>
      </c>
      <c r="J13" s="25">
        <f t="shared" si="18"/>
        <v>-6271.6650000000009</v>
      </c>
      <c r="K13" s="25">
        <f t="shared" si="18"/>
        <v>-10243.035000000003</v>
      </c>
      <c r="L13" s="22">
        <f t="shared" si="18"/>
        <v>-16271.505000000005</v>
      </c>
      <c r="M13" s="28">
        <f t="shared" si="18"/>
        <v>4676.3149999999951</v>
      </c>
      <c r="N13" s="28">
        <f t="shared" si="18"/>
        <v>-4646.7649999999994</v>
      </c>
      <c r="O13" s="28">
        <f t="shared" si="18"/>
        <v>2965.7649999999994</v>
      </c>
      <c r="P13" s="22">
        <f t="shared" si="18"/>
        <v>2995.3150000000023</v>
      </c>
      <c r="Q13" s="28">
        <f t="shared" si="18"/>
        <v>-6082.9749999999985</v>
      </c>
      <c r="R13" s="28">
        <f t="shared" si="18"/>
        <v>-133.67500000000291</v>
      </c>
      <c r="S13" s="28">
        <f t="shared" si="18"/>
        <v>17855.695</v>
      </c>
      <c r="T13" s="22">
        <f t="shared" si="18"/>
        <v>20339.045000000013</v>
      </c>
      <c r="U13" s="144">
        <f t="shared" ref="U13:U27" si="19">H13+L13+P13+T13</f>
        <v>4949.7500000000146</v>
      </c>
    </row>
    <row r="14" spans="1:21" s="13" customFormat="1" ht="24.75" customHeight="1">
      <c r="A14" s="141" t="s">
        <v>22</v>
      </c>
      <c r="B14" s="19" t="s">
        <v>23</v>
      </c>
      <c r="C14" s="22"/>
      <c r="D14" s="22">
        <f>SUM(D15:D23)</f>
        <v>21790.75</v>
      </c>
      <c r="E14" s="294"/>
      <c r="F14" s="22">
        <f>SUM(F15:F23)</f>
        <v>28089.435000000001</v>
      </c>
      <c r="G14" s="22">
        <f>SUM(G15:G23)</f>
        <v>74170.435000000012</v>
      </c>
      <c r="H14" s="20">
        <f>SUM(D14:G14)</f>
        <v>124050.62000000001</v>
      </c>
      <c r="I14" s="22">
        <f>SUM(I15:I23)</f>
        <v>25447.435000000001</v>
      </c>
      <c r="J14" s="22">
        <f>SUM(J15:J23)</f>
        <v>28499.435000000001</v>
      </c>
      <c r="K14" s="22">
        <f>SUM(K15:K23)</f>
        <v>25847.435000000001</v>
      </c>
      <c r="L14" s="20">
        <f>SUM(I14:K14)</f>
        <v>79794.305000000008</v>
      </c>
      <c r="M14" s="22">
        <f>SUM(M15:M23)</f>
        <v>26051.435000000001</v>
      </c>
      <c r="N14" s="22">
        <f>SUM(N15:N23)</f>
        <v>25447.435000000001</v>
      </c>
      <c r="O14" s="22">
        <f>SUM(O15:O23)</f>
        <v>26948.435000000001</v>
      </c>
      <c r="P14" s="20">
        <f>SUM(M14:O14)</f>
        <v>78447.305000000008</v>
      </c>
      <c r="Q14" s="22">
        <f>SUM(Q15:Q23)</f>
        <v>30955.435000000001</v>
      </c>
      <c r="R14" s="22">
        <f>SUM(R15:R23)</f>
        <v>27971.435000000001</v>
      </c>
      <c r="S14" s="22">
        <f>SUM(S15:S23)</f>
        <v>33611.434999999998</v>
      </c>
      <c r="T14" s="20">
        <f>SUM(Q14:S14)</f>
        <v>92538.304999999993</v>
      </c>
      <c r="U14" s="142">
        <f t="shared" si="19"/>
        <v>374830.53500000003</v>
      </c>
    </row>
    <row r="15" spans="1:21" s="13" customFormat="1">
      <c r="A15" s="143" t="s">
        <v>24</v>
      </c>
      <c r="B15" s="15" t="s">
        <v>17</v>
      </c>
      <c r="C15" s="70">
        <v>2.57</v>
      </c>
      <c r="D15" s="25">
        <f t="shared" ref="D15:D21" si="20">C15*$K$4</f>
        <v>6891.4549999999999</v>
      </c>
      <c r="E15" s="288">
        <v>2.8</v>
      </c>
      <c r="F15" s="25">
        <f>E15*K4</f>
        <v>7508.2</v>
      </c>
      <c r="G15" s="25">
        <f>E15*K4</f>
        <v>7508.2</v>
      </c>
      <c r="H15" s="20">
        <f>SUM(D15:G15)</f>
        <v>21910.654999999999</v>
      </c>
      <c r="I15" s="25">
        <f>E15*K4</f>
        <v>7508.2</v>
      </c>
      <c r="J15" s="25">
        <f>E15*K4</f>
        <v>7508.2</v>
      </c>
      <c r="K15" s="25">
        <f>E15*K4</f>
        <v>7508.2</v>
      </c>
      <c r="L15" s="20">
        <f>SUM(I15:K15)</f>
        <v>22524.6</v>
      </c>
      <c r="M15" s="25">
        <f>E15*K4</f>
        <v>7508.2</v>
      </c>
      <c r="N15" s="25">
        <f>E15*K4</f>
        <v>7508.2</v>
      </c>
      <c r="O15" s="25">
        <f>E15*K4</f>
        <v>7508.2</v>
      </c>
      <c r="P15" s="20">
        <f>SUM(M15:O15)</f>
        <v>22524.6</v>
      </c>
      <c r="Q15" s="25">
        <f>E15*K4</f>
        <v>7508.2</v>
      </c>
      <c r="R15" s="25">
        <f>E15*K4</f>
        <v>7508.2</v>
      </c>
      <c r="S15" s="25">
        <f>E15*K4</f>
        <v>7508.2</v>
      </c>
      <c r="T15" s="20">
        <f>SUM(Q15:S15)</f>
        <v>22524.6</v>
      </c>
      <c r="U15" s="144">
        <f t="shared" si="19"/>
        <v>89484.454999999987</v>
      </c>
    </row>
    <row r="16" spans="1:21" s="13" customFormat="1">
      <c r="A16" s="143" t="s">
        <v>25</v>
      </c>
      <c r="B16" s="15" t="s">
        <v>88</v>
      </c>
      <c r="C16" s="70">
        <v>2.99</v>
      </c>
      <c r="D16" s="25">
        <f t="shared" si="20"/>
        <v>8017.6850000000004</v>
      </c>
      <c r="E16" s="288">
        <v>3.99</v>
      </c>
      <c r="F16" s="25">
        <f>E16*K4</f>
        <v>10699.185000000001</v>
      </c>
      <c r="G16" s="25">
        <f>E16*K4</f>
        <v>10699.185000000001</v>
      </c>
      <c r="H16" s="20">
        <f>SUM(D16:G16)</f>
        <v>29420.045000000002</v>
      </c>
      <c r="I16" s="25">
        <f>G16</f>
        <v>10699.185000000001</v>
      </c>
      <c r="J16" s="25">
        <f>I16</f>
        <v>10699.185000000001</v>
      </c>
      <c r="K16" s="25">
        <f>J16</f>
        <v>10699.185000000001</v>
      </c>
      <c r="L16" s="20">
        <f>SUM(I16:K16)</f>
        <v>32097.555000000004</v>
      </c>
      <c r="M16" s="28">
        <f>K16</f>
        <v>10699.185000000001</v>
      </c>
      <c r="N16" s="28">
        <f>M16</f>
        <v>10699.185000000001</v>
      </c>
      <c r="O16" s="28">
        <f>N16</f>
        <v>10699.185000000001</v>
      </c>
      <c r="P16" s="20">
        <f>SUM(M16:O16)</f>
        <v>32097.555000000004</v>
      </c>
      <c r="Q16" s="28">
        <f>O16</f>
        <v>10699.185000000001</v>
      </c>
      <c r="R16" s="28">
        <f>Q16</f>
        <v>10699.185000000001</v>
      </c>
      <c r="S16" s="28">
        <f>R16</f>
        <v>10699.185000000001</v>
      </c>
      <c r="T16" s="20">
        <f>SUM(Q16:S16)</f>
        <v>32097.555000000004</v>
      </c>
      <c r="U16" s="144">
        <f t="shared" si="19"/>
        <v>125712.71000000002</v>
      </c>
    </row>
    <row r="17" spans="1:22" s="13" customFormat="1" ht="15.75" thickBot="1">
      <c r="A17" s="146" t="s">
        <v>27</v>
      </c>
      <c r="B17" s="33" t="s">
        <v>30</v>
      </c>
      <c r="C17" s="71">
        <v>0</v>
      </c>
      <c r="D17" s="34">
        <f t="shared" si="20"/>
        <v>0</v>
      </c>
      <c r="E17" s="289">
        <v>0</v>
      </c>
      <c r="F17" s="34">
        <f t="shared" ref="F17:F21" si="21">C17*$K$4</f>
        <v>0</v>
      </c>
      <c r="G17" s="34">
        <f t="shared" ref="G17:G21" si="22">C17*$K$4</f>
        <v>0</v>
      </c>
      <c r="H17" s="66">
        <f t="shared" ref="H17:H26" si="23">SUM(D17:G17)</f>
        <v>0</v>
      </c>
      <c r="I17" s="34">
        <f t="shared" ref="I17:I21" si="24">C17*$K$4</f>
        <v>0</v>
      </c>
      <c r="J17" s="34">
        <f>C17*$K$4</f>
        <v>0</v>
      </c>
      <c r="K17" s="34">
        <f t="shared" ref="K17:K21" si="25">C17*$K$4</f>
        <v>0</v>
      </c>
      <c r="L17" s="66">
        <f t="shared" ref="L17:L26" si="26">SUM(I17:K17)</f>
        <v>0</v>
      </c>
      <c r="M17" s="58">
        <f t="shared" ref="M17:M21" si="27">C17*$K$4</f>
        <v>0</v>
      </c>
      <c r="N17" s="58">
        <f t="shared" ref="N17:N21" si="28">C17*$K$4</f>
        <v>0</v>
      </c>
      <c r="O17" s="58">
        <f t="shared" ref="O17:O21" si="29">C17*$K$4</f>
        <v>0</v>
      </c>
      <c r="P17" s="66">
        <f t="shared" ref="P17:P26" si="30">SUM(M17:O17)</f>
        <v>0</v>
      </c>
      <c r="Q17" s="58">
        <f t="shared" ref="Q17:Q21" si="31">C17*$K$4</f>
        <v>0</v>
      </c>
      <c r="R17" s="58">
        <f t="shared" ref="R17:R21" si="32">C17*$K$4</f>
        <v>0</v>
      </c>
      <c r="S17" s="58">
        <f t="shared" ref="S17:S21" si="33">C17*$K$4</f>
        <v>0</v>
      </c>
      <c r="T17" s="66">
        <f t="shared" ref="T17:T26" si="34">SUM(Q17:S17)</f>
        <v>0</v>
      </c>
      <c r="U17" s="147">
        <f t="shared" si="19"/>
        <v>0</v>
      </c>
    </row>
    <row r="18" spans="1:22" s="13" customFormat="1" ht="15.75" thickBot="1">
      <c r="A18" s="130" t="s">
        <v>28</v>
      </c>
      <c r="B18" s="131" t="s">
        <v>40</v>
      </c>
      <c r="C18" s="174"/>
      <c r="D18" s="38">
        <v>4361</v>
      </c>
      <c r="E18" s="304"/>
      <c r="F18" s="38">
        <v>2642</v>
      </c>
      <c r="G18" s="38">
        <v>48723</v>
      </c>
      <c r="H18" s="119">
        <f t="shared" si="23"/>
        <v>55726</v>
      </c>
      <c r="I18" s="212">
        <v>0</v>
      </c>
      <c r="J18" s="38">
        <v>3052</v>
      </c>
      <c r="K18" s="212">
        <v>0</v>
      </c>
      <c r="L18" s="119">
        <f t="shared" si="26"/>
        <v>3052</v>
      </c>
      <c r="M18" s="213">
        <v>604</v>
      </c>
      <c r="N18" s="40">
        <v>0</v>
      </c>
      <c r="O18" s="40">
        <v>1501</v>
      </c>
      <c r="P18" s="119">
        <f t="shared" si="30"/>
        <v>2105</v>
      </c>
      <c r="Q18" s="40">
        <v>5508</v>
      </c>
      <c r="R18" s="40">
        <v>2524</v>
      </c>
      <c r="S18" s="40">
        <v>8164</v>
      </c>
      <c r="T18" s="119">
        <f t="shared" si="34"/>
        <v>16196</v>
      </c>
      <c r="U18" s="125">
        <f t="shared" si="19"/>
        <v>77079</v>
      </c>
    </row>
    <row r="19" spans="1:22" s="13" customFormat="1">
      <c r="A19" s="148" t="s">
        <v>33</v>
      </c>
      <c r="B19" s="45" t="s">
        <v>39</v>
      </c>
      <c r="C19" s="80">
        <v>0.82</v>
      </c>
      <c r="D19" s="46">
        <f t="shared" si="20"/>
        <v>2198.83</v>
      </c>
      <c r="E19" s="291">
        <v>1</v>
      </c>
      <c r="F19" s="46">
        <f>E19*K4</f>
        <v>2681.5</v>
      </c>
      <c r="G19" s="46">
        <f>F19</f>
        <v>2681.5</v>
      </c>
      <c r="H19" s="98">
        <f t="shared" si="23"/>
        <v>7562.83</v>
      </c>
      <c r="I19" s="46">
        <f>G19</f>
        <v>2681.5</v>
      </c>
      <c r="J19" s="46">
        <f>I19</f>
        <v>2681.5</v>
      </c>
      <c r="K19" s="46">
        <f>J19</f>
        <v>2681.5</v>
      </c>
      <c r="L19" s="98">
        <f t="shared" si="26"/>
        <v>8044.5</v>
      </c>
      <c r="M19" s="76">
        <f>K19</f>
        <v>2681.5</v>
      </c>
      <c r="N19" s="76">
        <f>M19</f>
        <v>2681.5</v>
      </c>
      <c r="O19" s="76">
        <f>N19</f>
        <v>2681.5</v>
      </c>
      <c r="P19" s="98">
        <f t="shared" si="30"/>
        <v>8044.5</v>
      </c>
      <c r="Q19" s="76">
        <f>O19</f>
        <v>2681.5</v>
      </c>
      <c r="R19" s="76">
        <f>Q19</f>
        <v>2681.5</v>
      </c>
      <c r="S19" s="76">
        <f>R19</f>
        <v>2681.5</v>
      </c>
      <c r="T19" s="98">
        <f t="shared" si="34"/>
        <v>8044.5</v>
      </c>
      <c r="U19" s="149">
        <f t="shared" si="19"/>
        <v>31696.33</v>
      </c>
    </row>
    <row r="20" spans="1:22" s="13" customFormat="1">
      <c r="A20" s="143" t="s">
        <v>34</v>
      </c>
      <c r="B20" s="15" t="s">
        <v>41</v>
      </c>
      <c r="C20" s="70">
        <v>0.12</v>
      </c>
      <c r="D20" s="25">
        <f t="shared" si="20"/>
        <v>321.77999999999997</v>
      </c>
      <c r="E20" s="288">
        <v>0.2</v>
      </c>
      <c r="F20" s="25">
        <f>E20*K4</f>
        <v>536.30000000000007</v>
      </c>
      <c r="G20" s="25">
        <f>F20</f>
        <v>536.30000000000007</v>
      </c>
      <c r="H20" s="20">
        <f t="shared" si="23"/>
        <v>1394.58</v>
      </c>
      <c r="I20" s="25">
        <f>G20</f>
        <v>536.30000000000007</v>
      </c>
      <c r="J20" s="25">
        <f>I20</f>
        <v>536.30000000000007</v>
      </c>
      <c r="K20" s="25">
        <f>J20</f>
        <v>536.30000000000007</v>
      </c>
      <c r="L20" s="20">
        <f t="shared" si="26"/>
        <v>1608.9</v>
      </c>
      <c r="M20" s="28">
        <f>K20</f>
        <v>536.30000000000007</v>
      </c>
      <c r="N20" s="28">
        <f>M20</f>
        <v>536.30000000000007</v>
      </c>
      <c r="O20" s="28">
        <f>N20</f>
        <v>536.30000000000007</v>
      </c>
      <c r="P20" s="20">
        <f t="shared" si="30"/>
        <v>1608.9</v>
      </c>
      <c r="Q20" s="28">
        <f>O20</f>
        <v>536.30000000000007</v>
      </c>
      <c r="R20" s="28">
        <f>Q20</f>
        <v>536.30000000000007</v>
      </c>
      <c r="S20" s="28">
        <f>R20</f>
        <v>536.30000000000007</v>
      </c>
      <c r="T20" s="20">
        <f t="shared" si="34"/>
        <v>1608.9</v>
      </c>
      <c r="U20" s="144">
        <f t="shared" si="19"/>
        <v>6221.2800000000007</v>
      </c>
    </row>
    <row r="21" spans="1:22" s="13" customFormat="1">
      <c r="A21" s="143" t="s">
        <v>35</v>
      </c>
      <c r="B21" s="15" t="s">
        <v>89</v>
      </c>
      <c r="C21" s="65"/>
      <c r="D21" s="25">
        <f t="shared" si="20"/>
        <v>0</v>
      </c>
      <c r="E21" s="294"/>
      <c r="F21" s="25">
        <f t="shared" si="21"/>
        <v>0</v>
      </c>
      <c r="G21" s="25">
        <f t="shared" si="22"/>
        <v>0</v>
      </c>
      <c r="H21" s="20">
        <f t="shared" si="23"/>
        <v>0</v>
      </c>
      <c r="I21" s="25">
        <f t="shared" si="24"/>
        <v>0</v>
      </c>
      <c r="J21" s="25">
        <f t="shared" ref="J21" si="35">C21*$K$4</f>
        <v>0</v>
      </c>
      <c r="K21" s="25">
        <f t="shared" si="25"/>
        <v>0</v>
      </c>
      <c r="L21" s="20">
        <f t="shared" si="26"/>
        <v>0</v>
      </c>
      <c r="M21" s="28">
        <f t="shared" si="27"/>
        <v>0</v>
      </c>
      <c r="N21" s="28">
        <f t="shared" si="28"/>
        <v>0</v>
      </c>
      <c r="O21" s="28">
        <f t="shared" si="29"/>
        <v>0</v>
      </c>
      <c r="P21" s="20">
        <f t="shared" si="30"/>
        <v>0</v>
      </c>
      <c r="Q21" s="28">
        <f t="shared" si="31"/>
        <v>0</v>
      </c>
      <c r="R21" s="28">
        <f t="shared" si="32"/>
        <v>0</v>
      </c>
      <c r="S21" s="28">
        <f t="shared" si="33"/>
        <v>0</v>
      </c>
      <c r="T21" s="20">
        <f t="shared" si="34"/>
        <v>0</v>
      </c>
      <c r="U21" s="144">
        <f t="shared" si="19"/>
        <v>0</v>
      </c>
    </row>
    <row r="22" spans="1:22" s="13" customFormat="1">
      <c r="A22" s="143" t="s">
        <v>124</v>
      </c>
      <c r="B22" s="15" t="s">
        <v>123</v>
      </c>
      <c r="C22" s="65"/>
      <c r="D22" s="25"/>
      <c r="E22" s="288">
        <v>1.5</v>
      </c>
      <c r="F22" s="25">
        <f>E22*K4</f>
        <v>4022.25</v>
      </c>
      <c r="G22" s="25">
        <f>F22</f>
        <v>4022.25</v>
      </c>
      <c r="H22" s="20">
        <f>G22+F22+D22</f>
        <v>8044.5</v>
      </c>
      <c r="I22" s="25">
        <f>G22</f>
        <v>4022.25</v>
      </c>
      <c r="J22" s="25">
        <f>I22</f>
        <v>4022.25</v>
      </c>
      <c r="K22" s="25">
        <f>J22</f>
        <v>4022.25</v>
      </c>
      <c r="L22" s="20">
        <f>K22+J22+I22</f>
        <v>12066.75</v>
      </c>
      <c r="M22" s="28">
        <f>K22</f>
        <v>4022.25</v>
      </c>
      <c r="N22" s="28">
        <f>M22</f>
        <v>4022.25</v>
      </c>
      <c r="O22" s="28">
        <f>N22</f>
        <v>4022.25</v>
      </c>
      <c r="P22" s="20">
        <f>O22+N22+M22</f>
        <v>12066.75</v>
      </c>
      <c r="Q22" s="28">
        <f>O22</f>
        <v>4022.25</v>
      </c>
      <c r="R22" s="28">
        <f>Q22</f>
        <v>4022.25</v>
      </c>
      <c r="S22" s="28">
        <f>R22</f>
        <v>4022.25</v>
      </c>
      <c r="T22" s="20">
        <f>+S22+R22+Q22</f>
        <v>12066.75</v>
      </c>
      <c r="U22" s="144">
        <f t="shared" si="19"/>
        <v>44244.75</v>
      </c>
    </row>
    <row r="23" spans="1:22" s="13" customFormat="1">
      <c r="A23" s="143" t="s">
        <v>125</v>
      </c>
      <c r="B23" s="15" t="s">
        <v>90</v>
      </c>
      <c r="C23" s="65"/>
      <c r="D23" s="25">
        <f>SUM(D25:D26)</f>
        <v>0</v>
      </c>
      <c r="E23" s="294"/>
      <c r="F23" s="25">
        <f>SUM(F25:F26)</f>
        <v>0</v>
      </c>
      <c r="G23" s="25">
        <f>SUM(G25:G26)</f>
        <v>0</v>
      </c>
      <c r="H23" s="20">
        <f t="shared" si="23"/>
        <v>0</v>
      </c>
      <c r="I23" s="25">
        <f>SUM(I25:I26)</f>
        <v>0</v>
      </c>
      <c r="J23" s="25">
        <f>SUM(J25:J26)</f>
        <v>0</v>
      </c>
      <c r="K23" s="29">
        <f>SUM(K25:K26)</f>
        <v>400</v>
      </c>
      <c r="L23" s="20">
        <f t="shared" si="26"/>
        <v>400</v>
      </c>
      <c r="M23" s="28">
        <f>SUM(M25:M26)</f>
        <v>0</v>
      </c>
      <c r="N23" s="28">
        <f>SUM(N25:N26)</f>
        <v>0</v>
      </c>
      <c r="O23" s="28">
        <f>SUM(O25:O26)</f>
        <v>0</v>
      </c>
      <c r="P23" s="20">
        <f t="shared" si="30"/>
        <v>0</v>
      </c>
      <c r="Q23" s="28">
        <f>SUM(Q25:Q26)</f>
        <v>0</v>
      </c>
      <c r="R23" s="28">
        <f>SUM(R25:R26)</f>
        <v>0</v>
      </c>
      <c r="S23" s="28">
        <f>SUM(S25:S26)</f>
        <v>0</v>
      </c>
      <c r="T23" s="20">
        <f t="shared" si="34"/>
        <v>0</v>
      </c>
      <c r="U23" s="144">
        <f t="shared" si="19"/>
        <v>400</v>
      </c>
    </row>
    <row r="24" spans="1:22" s="13" customFormat="1">
      <c r="A24" s="143"/>
      <c r="B24" s="15" t="s">
        <v>44</v>
      </c>
      <c r="C24" s="65"/>
      <c r="D24" s="25"/>
      <c r="E24" s="294"/>
      <c r="F24" s="25"/>
      <c r="G24" s="25"/>
      <c r="H24" s="20">
        <f t="shared" si="23"/>
        <v>0</v>
      </c>
      <c r="I24" s="25"/>
      <c r="J24" s="25"/>
      <c r="K24" s="25"/>
      <c r="L24" s="20">
        <f t="shared" si="26"/>
        <v>0</v>
      </c>
      <c r="M24" s="28"/>
      <c r="N24" s="28"/>
      <c r="O24" s="28"/>
      <c r="P24" s="20">
        <f t="shared" si="30"/>
        <v>0</v>
      </c>
      <c r="Q24" s="28"/>
      <c r="R24" s="28"/>
      <c r="S24" s="28"/>
      <c r="T24" s="20">
        <f t="shared" si="34"/>
        <v>0</v>
      </c>
      <c r="U24" s="144">
        <f t="shared" si="19"/>
        <v>0</v>
      </c>
    </row>
    <row r="25" spans="1:22" s="13" customFormat="1">
      <c r="A25" s="143"/>
      <c r="B25" s="15" t="s">
        <v>53</v>
      </c>
      <c r="C25" s="65"/>
      <c r="D25" s="25"/>
      <c r="E25" s="294"/>
      <c r="F25" s="25"/>
      <c r="G25" s="25"/>
      <c r="H25" s="20">
        <f t="shared" si="23"/>
        <v>0</v>
      </c>
      <c r="I25" s="25"/>
      <c r="J25" s="25"/>
      <c r="K25" s="29"/>
      <c r="L25" s="20">
        <f t="shared" si="26"/>
        <v>0</v>
      </c>
      <c r="M25" s="28"/>
      <c r="N25" s="28"/>
      <c r="O25" s="30"/>
      <c r="P25" s="20">
        <f t="shared" si="30"/>
        <v>0</v>
      </c>
      <c r="Q25" s="28"/>
      <c r="R25" s="28"/>
      <c r="S25" s="28"/>
      <c r="T25" s="20">
        <f t="shared" si="34"/>
        <v>0</v>
      </c>
      <c r="U25" s="144">
        <f t="shared" si="19"/>
        <v>0</v>
      </c>
    </row>
    <row r="26" spans="1:22" s="13" customFormat="1">
      <c r="A26" s="143"/>
      <c r="B26" s="15" t="s">
        <v>91</v>
      </c>
      <c r="C26" s="65"/>
      <c r="D26" s="25"/>
      <c r="E26" s="294"/>
      <c r="F26" s="25"/>
      <c r="G26" s="25"/>
      <c r="H26" s="20">
        <f t="shared" si="23"/>
        <v>0</v>
      </c>
      <c r="I26" s="25"/>
      <c r="J26" s="25"/>
      <c r="K26" s="29">
        <v>400</v>
      </c>
      <c r="L26" s="20">
        <f t="shared" si="26"/>
        <v>400</v>
      </c>
      <c r="M26" s="28"/>
      <c r="N26" s="28"/>
      <c r="O26" s="28"/>
      <c r="P26" s="20">
        <f t="shared" si="30"/>
        <v>0</v>
      </c>
      <c r="Q26" s="28"/>
      <c r="R26" s="28"/>
      <c r="S26" s="28"/>
      <c r="T26" s="20">
        <f t="shared" si="34"/>
        <v>0</v>
      </c>
      <c r="U26" s="144">
        <f t="shared" si="19"/>
        <v>400</v>
      </c>
    </row>
    <row r="27" spans="1:22" s="13" customFormat="1" ht="15.75" thickBot="1">
      <c r="A27" s="150"/>
      <c r="B27" s="151" t="s">
        <v>43</v>
      </c>
      <c r="C27" s="177"/>
      <c r="D27" s="153"/>
      <c r="E27" s="306"/>
      <c r="F27" s="154"/>
      <c r="G27" s="154"/>
      <c r="H27" s="155">
        <f>H11-H14</f>
        <v>-7170.7800000000134</v>
      </c>
      <c r="I27" s="154"/>
      <c r="J27" s="154"/>
      <c r="K27" s="154"/>
      <c r="L27" s="155">
        <f>L11-L14</f>
        <v>22912.344999999987</v>
      </c>
      <c r="M27" s="157"/>
      <c r="N27" s="157"/>
      <c r="O27" s="156"/>
      <c r="P27" s="155">
        <f>P11-P14</f>
        <v>43526.164999999994</v>
      </c>
      <c r="Q27" s="156"/>
      <c r="R27" s="156"/>
      <c r="S27" s="156"/>
      <c r="T27" s="155">
        <f>T11-T14</f>
        <v>46778.895000000019</v>
      </c>
      <c r="U27" s="158">
        <f t="shared" si="19"/>
        <v>106046.62499999999</v>
      </c>
      <c r="V27" s="126"/>
    </row>
    <row r="28" spans="1:22" s="13" customFormat="1"/>
  </sheetData>
  <mergeCells count="4">
    <mergeCell ref="A1:L1"/>
    <mergeCell ref="A2:L2"/>
    <mergeCell ref="A3:L3"/>
    <mergeCell ref="Q3:U3"/>
  </mergeCells>
  <pageMargins left="0" right="0" top="0.74803149606299213" bottom="0.74803149606299213" header="0.31496062992125984" footer="0.31496062992125984"/>
  <pageSetup paperSize="9" scale="62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28"/>
  <sheetViews>
    <sheetView zoomScaleNormal="100" workbookViewId="0">
      <selection activeCell="H30" sqref="H30"/>
    </sheetView>
  </sheetViews>
  <sheetFormatPr defaultRowHeight="15"/>
  <cols>
    <col min="1" max="1" width="5" customWidth="1"/>
    <col min="2" max="2" width="29.28515625" customWidth="1"/>
    <col min="4" max="4" width="10.140625" customWidth="1"/>
    <col min="5" max="5" width="11.28515625" customWidth="1"/>
    <col min="6" max="6" width="9.85546875" customWidth="1"/>
    <col min="7" max="7" width="11.140625" customWidth="1"/>
    <col min="9" max="9" width="10.42578125" customWidth="1"/>
    <col min="10" max="10" width="10.28515625" customWidth="1"/>
    <col min="11" max="11" width="10.5703125" customWidth="1"/>
  </cols>
  <sheetData>
    <row r="1" spans="1:23" s="13" customForma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S1" s="13" t="s">
        <v>94</v>
      </c>
    </row>
    <row r="2" spans="1:23" s="14" customFormat="1">
      <c r="A2" s="371" t="s">
        <v>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S2" s="13" t="s">
        <v>95</v>
      </c>
      <c r="T2" s="13"/>
      <c r="U2" s="13"/>
      <c r="V2" s="13"/>
      <c r="W2" s="13"/>
    </row>
    <row r="3" spans="1:23" s="14" customFormat="1">
      <c r="A3" s="376" t="s">
        <v>126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S3" s="373" t="s">
        <v>138</v>
      </c>
      <c r="T3" s="373"/>
      <c r="U3" s="373"/>
      <c r="V3" s="373"/>
      <c r="W3" s="373"/>
    </row>
    <row r="4" spans="1:23" s="14" customFormat="1" ht="15.75" thickBot="1">
      <c r="B4" s="14" t="s">
        <v>127</v>
      </c>
      <c r="K4" s="14">
        <f>2678.2+106.9</f>
        <v>2785.1</v>
      </c>
    </row>
    <row r="5" spans="1:23" s="14" customFormat="1" ht="15.75" thickBot="1">
      <c r="A5" s="244"/>
      <c r="B5" s="245" t="s">
        <v>2</v>
      </c>
      <c r="C5" s="246" t="s">
        <v>3</v>
      </c>
      <c r="D5" s="245" t="s">
        <v>4</v>
      </c>
      <c r="E5" s="245" t="s">
        <v>5</v>
      </c>
      <c r="F5" s="245" t="s">
        <v>3</v>
      </c>
      <c r="G5" s="245" t="s">
        <v>6</v>
      </c>
      <c r="H5" s="180" t="s">
        <v>7</v>
      </c>
      <c r="I5" s="245" t="s">
        <v>8</v>
      </c>
      <c r="J5" s="245" t="s">
        <v>9</v>
      </c>
      <c r="K5" s="245" t="s">
        <v>10</v>
      </c>
      <c r="L5" s="179" t="s">
        <v>11</v>
      </c>
      <c r="M5" s="245" t="s">
        <v>54</v>
      </c>
      <c r="N5" s="245" t="s">
        <v>55</v>
      </c>
      <c r="O5" s="245" t="s">
        <v>56</v>
      </c>
      <c r="P5" s="179" t="s">
        <v>57</v>
      </c>
      <c r="Q5" s="245" t="s">
        <v>63</v>
      </c>
      <c r="R5" s="245" t="s">
        <v>64</v>
      </c>
      <c r="S5" s="245" t="s">
        <v>65</v>
      </c>
      <c r="T5" s="179" t="s">
        <v>66</v>
      </c>
      <c r="U5" s="247" t="s">
        <v>71</v>
      </c>
    </row>
    <row r="6" spans="1:23" s="14" customFormat="1" ht="24" customHeight="1" thickBot="1">
      <c r="A6" s="95" t="s">
        <v>12</v>
      </c>
      <c r="B6" s="248" t="s">
        <v>13</v>
      </c>
      <c r="C6" s="249"/>
      <c r="D6" s="67">
        <f t="shared" ref="D6:H6" si="0">SUM(D7:D10)</f>
        <v>46901.084000000003</v>
      </c>
      <c r="E6" s="67">
        <f t="shared" si="0"/>
        <v>44126.091</v>
      </c>
      <c r="F6" s="67"/>
      <c r="G6" s="67">
        <f>G7+G8+G9+G10</f>
        <v>50243.203999999998</v>
      </c>
      <c r="H6" s="67">
        <f t="shared" si="0"/>
        <v>141288.41899999999</v>
      </c>
      <c r="I6" s="67">
        <f>I7+I8+I9+I10</f>
        <v>50243.203999999998</v>
      </c>
      <c r="J6" s="67">
        <f t="shared" ref="J6:K6" si="1">J7+J8+J9+J10</f>
        <v>50243.203999999998</v>
      </c>
      <c r="K6" s="67">
        <f t="shared" si="1"/>
        <v>50243.203999999998</v>
      </c>
      <c r="L6" s="67">
        <f t="shared" ref="L6:T6" si="2">SUM(L7:L10)</f>
        <v>150729.61199999999</v>
      </c>
      <c r="M6" s="67">
        <f>M7+M8+M9+M10</f>
        <v>50243.203999999998</v>
      </c>
      <c r="N6" s="67">
        <f t="shared" ref="N6:O6" si="3">N7+N8+N9+N10</f>
        <v>50243.203999999998</v>
      </c>
      <c r="O6" s="67">
        <f t="shared" si="3"/>
        <v>44115.983999999997</v>
      </c>
      <c r="P6" s="67">
        <f t="shared" si="2"/>
        <v>144602.39199999999</v>
      </c>
      <c r="Q6" s="67">
        <f>Q7+Q8+Q9+Q10</f>
        <v>50243.203999999998</v>
      </c>
      <c r="R6" s="67">
        <f t="shared" ref="R6:S6" si="4">R7+R8+R9+R10</f>
        <v>50243.203999999998</v>
      </c>
      <c r="S6" s="67">
        <f t="shared" si="4"/>
        <v>50243.203999999998</v>
      </c>
      <c r="T6" s="67">
        <f t="shared" si="2"/>
        <v>150729.61199999999</v>
      </c>
      <c r="U6" s="96">
        <f t="shared" ref="U6:U12" si="5">H6+L6+P6+T6</f>
        <v>587350.03499999992</v>
      </c>
    </row>
    <row r="7" spans="1:23" s="14" customFormat="1">
      <c r="A7" s="250" t="s">
        <v>14</v>
      </c>
      <c r="B7" s="83" t="s">
        <v>15</v>
      </c>
      <c r="C7" s="228">
        <v>12.41</v>
      </c>
      <c r="D7" s="76">
        <f>C7*$K$4</f>
        <v>34563.091</v>
      </c>
      <c r="E7" s="76">
        <f>D7</f>
        <v>34563.091</v>
      </c>
      <c r="F7" s="228">
        <v>13.04</v>
      </c>
      <c r="G7" s="76">
        <f>F7*K4</f>
        <v>36317.703999999998</v>
      </c>
      <c r="H7" s="98">
        <f>SUM(D7:G7)</f>
        <v>105456.92599999999</v>
      </c>
      <c r="I7" s="76">
        <f>G7</f>
        <v>36317.703999999998</v>
      </c>
      <c r="J7" s="76">
        <f>I7</f>
        <v>36317.703999999998</v>
      </c>
      <c r="K7" s="76">
        <f>J7</f>
        <v>36317.703999999998</v>
      </c>
      <c r="L7" s="85">
        <f>I7+J7+K7</f>
        <v>108953.11199999999</v>
      </c>
      <c r="M7" s="76">
        <f>K7</f>
        <v>36317.703999999998</v>
      </c>
      <c r="N7" s="76">
        <f>M7</f>
        <v>36317.703999999998</v>
      </c>
      <c r="O7" s="76">
        <f>N7</f>
        <v>36317.703999999998</v>
      </c>
      <c r="P7" s="85">
        <f>SUM(M7:O7)</f>
        <v>108953.11199999999</v>
      </c>
      <c r="Q7" s="76">
        <f>O7</f>
        <v>36317.703999999998</v>
      </c>
      <c r="R7" s="76">
        <f>Q7</f>
        <v>36317.703999999998</v>
      </c>
      <c r="S7" s="76">
        <f>R7</f>
        <v>36317.703999999998</v>
      </c>
      <c r="T7" s="85">
        <f>SUM(Q7:S7)</f>
        <v>108953.11199999999</v>
      </c>
      <c r="U7" s="149">
        <f t="shared" si="5"/>
        <v>432316.26199999999</v>
      </c>
    </row>
    <row r="8" spans="1:23" s="14" customFormat="1">
      <c r="A8" s="251" t="s">
        <v>16</v>
      </c>
      <c r="B8" s="24" t="s">
        <v>17</v>
      </c>
      <c r="C8" s="225">
        <v>2.57</v>
      </c>
      <c r="D8" s="28">
        <f t="shared" ref="D8:D10" si="6">C8*$K$4</f>
        <v>7157.7069999999994</v>
      </c>
      <c r="E8" s="28">
        <v>7158</v>
      </c>
      <c r="F8" s="225">
        <v>2.8</v>
      </c>
      <c r="G8" s="28">
        <f>F8*K4</f>
        <v>7798.2799999999988</v>
      </c>
      <c r="H8" s="20">
        <f t="shared" ref="H8:H10" si="7">SUM(D8:G8)</f>
        <v>22116.786999999997</v>
      </c>
      <c r="I8" s="28">
        <f>F8*K4</f>
        <v>7798.2799999999988</v>
      </c>
      <c r="J8" s="28">
        <f>F8*K4</f>
        <v>7798.2799999999988</v>
      </c>
      <c r="K8" s="28">
        <f>F8*K4</f>
        <v>7798.2799999999988</v>
      </c>
      <c r="L8" s="22">
        <f>I8+J8+K8</f>
        <v>23394.839999999997</v>
      </c>
      <c r="M8" s="28">
        <f>F8*K4</f>
        <v>7798.2799999999988</v>
      </c>
      <c r="N8" s="28">
        <f>F8*K4</f>
        <v>7798.2799999999988</v>
      </c>
      <c r="O8" s="28">
        <f>F8*K4</f>
        <v>7798.2799999999988</v>
      </c>
      <c r="P8" s="22">
        <f t="shared" ref="P8:P10" si="8">SUM(M8:O8)</f>
        <v>23394.839999999997</v>
      </c>
      <c r="Q8" s="28">
        <f>F8*K4</f>
        <v>7798.2799999999988</v>
      </c>
      <c r="R8" s="28">
        <f>F8*K4</f>
        <v>7798.2799999999988</v>
      </c>
      <c r="S8" s="28">
        <f>F8*K4</f>
        <v>7798.2799999999988</v>
      </c>
      <c r="T8" s="22">
        <f t="shared" ref="T8:T10" si="9">SUM(Q8:S8)</f>
        <v>23394.839999999997</v>
      </c>
      <c r="U8" s="144">
        <f t="shared" si="5"/>
        <v>92301.306999999986</v>
      </c>
    </row>
    <row r="9" spans="1:23" s="14" customFormat="1">
      <c r="A9" s="251" t="s">
        <v>18</v>
      </c>
      <c r="B9" s="24" t="s">
        <v>30</v>
      </c>
      <c r="C9" s="225">
        <v>1.86</v>
      </c>
      <c r="D9" s="28">
        <f t="shared" si="6"/>
        <v>5180.2860000000001</v>
      </c>
      <c r="E9" s="30">
        <v>2405</v>
      </c>
      <c r="F9" s="225">
        <v>2.2000000000000002</v>
      </c>
      <c r="G9" s="28">
        <f>F9*K4</f>
        <v>6127.22</v>
      </c>
      <c r="H9" s="20">
        <f t="shared" si="7"/>
        <v>13714.706</v>
      </c>
      <c r="I9" s="28">
        <f>F9*K4</f>
        <v>6127.22</v>
      </c>
      <c r="J9" s="28">
        <f>F9*K4</f>
        <v>6127.22</v>
      </c>
      <c r="K9" s="28">
        <f>F9*K4</f>
        <v>6127.22</v>
      </c>
      <c r="L9" s="22">
        <f>I9+J9+K9</f>
        <v>18381.66</v>
      </c>
      <c r="M9" s="28">
        <f>F9*K4</f>
        <v>6127.22</v>
      </c>
      <c r="N9" s="28">
        <f>F9*K4</f>
        <v>6127.22</v>
      </c>
      <c r="O9" s="30">
        <v>0</v>
      </c>
      <c r="P9" s="22">
        <f t="shared" si="8"/>
        <v>12254.44</v>
      </c>
      <c r="Q9" s="28">
        <f>F9*K4</f>
        <v>6127.22</v>
      </c>
      <c r="R9" s="28">
        <f>F9*K4</f>
        <v>6127.22</v>
      </c>
      <c r="S9" s="28">
        <f>F9*K4</f>
        <v>6127.22</v>
      </c>
      <c r="T9" s="22">
        <f t="shared" si="9"/>
        <v>18381.66</v>
      </c>
      <c r="U9" s="144">
        <f t="shared" si="5"/>
        <v>62732.466</v>
      </c>
    </row>
    <row r="10" spans="1:23" s="14" customFormat="1" ht="15.75" thickBot="1">
      <c r="A10" s="81" t="s">
        <v>31</v>
      </c>
      <c r="B10" s="81" t="s">
        <v>19</v>
      </c>
      <c r="C10" s="226">
        <v>0</v>
      </c>
      <c r="D10" s="58">
        <f t="shared" si="6"/>
        <v>0</v>
      </c>
      <c r="E10" s="58">
        <f t="shared" ref="E10" si="10">C10*$K$4</f>
        <v>0</v>
      </c>
      <c r="F10" s="226">
        <v>0</v>
      </c>
      <c r="G10" s="58">
        <f t="shared" ref="G10" si="11">C10*$K$4</f>
        <v>0</v>
      </c>
      <c r="H10" s="66">
        <f t="shared" si="7"/>
        <v>0</v>
      </c>
      <c r="I10" s="58">
        <f t="shared" ref="I10" si="12">C10*$K$4</f>
        <v>0</v>
      </c>
      <c r="J10" s="58">
        <f t="shared" ref="J10" si="13">C10*$K$4</f>
        <v>0</v>
      </c>
      <c r="K10" s="58">
        <f>C10*$K$4</f>
        <v>0</v>
      </c>
      <c r="L10" s="84">
        <f>I10+J10+K10</f>
        <v>0</v>
      </c>
      <c r="M10" s="58">
        <f>C10*$K$4</f>
        <v>0</v>
      </c>
      <c r="N10" s="58">
        <f>C10*$K$4</f>
        <v>0</v>
      </c>
      <c r="O10" s="58">
        <f>C10*$K$4</f>
        <v>0</v>
      </c>
      <c r="P10" s="84">
        <f t="shared" si="8"/>
        <v>0</v>
      </c>
      <c r="Q10" s="58">
        <f>C10*$K$4</f>
        <v>0</v>
      </c>
      <c r="R10" s="58">
        <f>C10*$K$4</f>
        <v>0</v>
      </c>
      <c r="S10" s="58">
        <f>C10*$K$4</f>
        <v>0</v>
      </c>
      <c r="T10" s="84">
        <f t="shared" si="9"/>
        <v>0</v>
      </c>
      <c r="U10" s="58">
        <f t="shared" si="5"/>
        <v>0</v>
      </c>
    </row>
    <row r="11" spans="1:23" s="14" customFormat="1" ht="15.75" thickBot="1">
      <c r="A11" s="253" t="s">
        <v>122</v>
      </c>
      <c r="B11" s="82" t="s">
        <v>20</v>
      </c>
      <c r="C11" s="227"/>
      <c r="D11" s="40">
        <v>33020.559999999998</v>
      </c>
      <c r="E11" s="40">
        <v>42520.86</v>
      </c>
      <c r="F11" s="227"/>
      <c r="G11" s="40">
        <v>47082.239999999998</v>
      </c>
      <c r="H11" s="119">
        <f>D11+E11+G11+G12+G13</f>
        <v>126860.66</v>
      </c>
      <c r="I11" s="40">
        <f>39913.09+280.28</f>
        <v>40193.369999999995</v>
      </c>
      <c r="J11" s="40">
        <v>38100.81</v>
      </c>
      <c r="K11" s="40">
        <v>41665.919999999998</v>
      </c>
      <c r="L11" s="68">
        <f>I11+J11+K11+K12+K13</f>
        <v>133525.96</v>
      </c>
      <c r="M11" s="40">
        <v>45060.19</v>
      </c>
      <c r="N11" s="40">
        <v>43653.94</v>
      </c>
      <c r="O11" s="40">
        <v>43349.3</v>
      </c>
      <c r="P11" s="68">
        <f>M11+N11+O11+O12+O13</f>
        <v>137134.15</v>
      </c>
      <c r="Q11" s="40">
        <v>36578.089999999997</v>
      </c>
      <c r="R11" s="40">
        <v>44334.99</v>
      </c>
      <c r="S11" s="40">
        <v>45599.54</v>
      </c>
      <c r="T11" s="69">
        <f>SUM(Q11:S11)+S12+S13</f>
        <v>140153.62</v>
      </c>
      <c r="U11" s="73">
        <f t="shared" si="5"/>
        <v>537674.39</v>
      </c>
    </row>
    <row r="12" spans="1:23" s="14" customFormat="1">
      <c r="A12" s="254"/>
      <c r="B12" s="83" t="s">
        <v>37</v>
      </c>
      <c r="C12" s="228"/>
      <c r="D12" s="76"/>
      <c r="E12" s="76"/>
      <c r="F12" s="228"/>
      <c r="G12" s="231">
        <v>4237</v>
      </c>
      <c r="H12" s="98"/>
      <c r="I12" s="76"/>
      <c r="J12" s="76"/>
      <c r="K12" s="231">
        <f>2987.86+978+2700</f>
        <v>6665.8600000000006</v>
      </c>
      <c r="L12" s="85"/>
      <c r="M12" s="76"/>
      <c r="N12" s="76"/>
      <c r="O12" s="231">
        <f>3243+1827.72</f>
        <v>5070.72</v>
      </c>
      <c r="P12" s="85"/>
      <c r="Q12" s="76"/>
      <c r="R12" s="76"/>
      <c r="S12" s="231">
        <f>1585.56+3355.44</f>
        <v>4941</v>
      </c>
      <c r="T12" s="85"/>
      <c r="U12" s="149">
        <f t="shared" si="5"/>
        <v>0</v>
      </c>
    </row>
    <row r="13" spans="1:23" s="14" customFormat="1" ht="15.75" thickBot="1">
      <c r="A13" s="255"/>
      <c r="B13" s="81" t="s">
        <v>87</v>
      </c>
      <c r="C13" s="226"/>
      <c r="D13" s="58"/>
      <c r="E13" s="58"/>
      <c r="F13" s="226"/>
      <c r="G13" s="58"/>
      <c r="H13" s="66"/>
      <c r="I13" s="58"/>
      <c r="J13" s="58"/>
      <c r="K13" s="94">
        <v>6900</v>
      </c>
      <c r="L13" s="84"/>
      <c r="M13" s="58"/>
      <c r="N13" s="58"/>
      <c r="O13" s="58"/>
      <c r="P13" s="84"/>
      <c r="Q13" s="58"/>
      <c r="R13" s="58"/>
      <c r="S13" s="94">
        <f>6900+1800</f>
        <v>8700</v>
      </c>
      <c r="T13" s="84"/>
      <c r="U13" s="147"/>
    </row>
    <row r="14" spans="1:23" s="14" customFormat="1" ht="15.75" thickBot="1">
      <c r="A14" s="256"/>
      <c r="B14" s="82" t="s">
        <v>21</v>
      </c>
      <c r="C14" s="241"/>
      <c r="D14" s="42">
        <f>D11-D6</f>
        <v>-13880.524000000005</v>
      </c>
      <c r="E14" s="42">
        <f>E11-E6</f>
        <v>-1605.2309999999998</v>
      </c>
      <c r="F14" s="241"/>
      <c r="G14" s="42">
        <f t="shared" ref="G14:T14" si="14">G11-G6</f>
        <v>-3160.9639999999999</v>
      </c>
      <c r="H14" s="69">
        <f t="shared" si="14"/>
        <v>-14427.758999999991</v>
      </c>
      <c r="I14" s="42">
        <f t="shared" si="14"/>
        <v>-10049.834000000003</v>
      </c>
      <c r="J14" s="42">
        <f t="shared" si="14"/>
        <v>-12142.394</v>
      </c>
      <c r="K14" s="42">
        <f t="shared" si="14"/>
        <v>-8577.2839999999997</v>
      </c>
      <c r="L14" s="69">
        <f t="shared" si="14"/>
        <v>-17203.652000000002</v>
      </c>
      <c r="M14" s="42">
        <f t="shared" si="14"/>
        <v>-5183.0139999999956</v>
      </c>
      <c r="N14" s="42">
        <f t="shared" si="14"/>
        <v>-6589.2639999999956</v>
      </c>
      <c r="O14" s="42">
        <f t="shared" si="14"/>
        <v>-766.68399999999383</v>
      </c>
      <c r="P14" s="69">
        <f t="shared" si="14"/>
        <v>-7468.2419999999984</v>
      </c>
      <c r="Q14" s="42">
        <f t="shared" si="14"/>
        <v>-13665.114000000001</v>
      </c>
      <c r="R14" s="42">
        <f t="shared" si="14"/>
        <v>-5908.2139999999999</v>
      </c>
      <c r="S14" s="42">
        <f t="shared" si="14"/>
        <v>-4643.663999999997</v>
      </c>
      <c r="T14" s="69">
        <f t="shared" si="14"/>
        <v>-10575.991999999998</v>
      </c>
      <c r="U14" s="73">
        <f t="shared" ref="U14:U28" si="15">H14+L14+P14+T14</f>
        <v>-49675.64499999999</v>
      </c>
    </row>
    <row r="15" spans="1:23" s="14" customFormat="1" ht="33.75" customHeight="1" thickBot="1">
      <c r="A15" s="95" t="s">
        <v>22</v>
      </c>
      <c r="B15" s="248" t="s">
        <v>23</v>
      </c>
      <c r="C15" s="241"/>
      <c r="D15" s="69">
        <f>SUM(D16:D24)</f>
        <v>26721.435999999998</v>
      </c>
      <c r="E15" s="69">
        <f>SUM(E16:E24)</f>
        <v>28828.442999999999</v>
      </c>
      <c r="F15" s="241"/>
      <c r="G15" s="69">
        <f>SUM(G16:G24)</f>
        <v>55933.948999999993</v>
      </c>
      <c r="H15" s="67">
        <f>SUM(D15:G15)</f>
        <v>111483.82799999999</v>
      </c>
      <c r="I15" s="69">
        <f>SUM(I16:I24)</f>
        <v>56015.818999999996</v>
      </c>
      <c r="J15" s="69">
        <f>SUM(J16:J24)</f>
        <v>34521.818999999996</v>
      </c>
      <c r="K15" s="69">
        <f>SUM(K16:K24)</f>
        <v>106948.819</v>
      </c>
      <c r="L15" s="69">
        <f t="shared" ref="L15:L26" si="16">I15+J15+K15</f>
        <v>197486.45699999999</v>
      </c>
      <c r="M15" s="69">
        <f>SUM(M16:M24)</f>
        <v>32557.818999999996</v>
      </c>
      <c r="N15" s="69">
        <f>SUM(N16:N24)</f>
        <v>63062.818999999996</v>
      </c>
      <c r="O15" s="69">
        <f>SUM(O16:O24)</f>
        <v>26430.598999999995</v>
      </c>
      <c r="P15" s="67">
        <f>SUM(M15:O15)</f>
        <v>122051.23699999999</v>
      </c>
      <c r="Q15" s="69">
        <f>SUM(Q16:Q24)</f>
        <v>40754.818999999996</v>
      </c>
      <c r="R15" s="69">
        <f>SUM(R16:R24)</f>
        <v>32983.818999999996</v>
      </c>
      <c r="S15" s="69">
        <f>SUM(S16:S24)</f>
        <v>36780.818999999996</v>
      </c>
      <c r="T15" s="67">
        <f>SUM(Q15:S15)</f>
        <v>110519.45699999999</v>
      </c>
      <c r="U15" s="96">
        <f t="shared" si="15"/>
        <v>541540.97900000005</v>
      </c>
    </row>
    <row r="16" spans="1:23" s="14" customFormat="1">
      <c r="A16" s="250" t="s">
        <v>24</v>
      </c>
      <c r="B16" s="83" t="s">
        <v>17</v>
      </c>
      <c r="C16" s="228">
        <v>2.57</v>
      </c>
      <c r="D16" s="76">
        <f t="shared" ref="D16:D23" si="17">C16*$K$4</f>
        <v>7157.7069999999994</v>
      </c>
      <c r="E16" s="76">
        <v>7158</v>
      </c>
      <c r="F16" s="228">
        <v>2.8</v>
      </c>
      <c r="G16" s="76">
        <f>F16*K4</f>
        <v>7798.2799999999988</v>
      </c>
      <c r="H16" s="98">
        <f>SUM(D16:G16)</f>
        <v>22116.786999999997</v>
      </c>
      <c r="I16" s="76">
        <f>F16*K4</f>
        <v>7798.2799999999988</v>
      </c>
      <c r="J16" s="76">
        <f>F16*K4</f>
        <v>7798.2799999999988</v>
      </c>
      <c r="K16" s="76">
        <f>J16</f>
        <v>7798.2799999999988</v>
      </c>
      <c r="L16" s="85">
        <f t="shared" si="16"/>
        <v>23394.839999999997</v>
      </c>
      <c r="M16" s="76">
        <f>K16</f>
        <v>7798.2799999999988</v>
      </c>
      <c r="N16" s="76">
        <f>M16</f>
        <v>7798.2799999999988</v>
      </c>
      <c r="O16" s="76">
        <f>N16</f>
        <v>7798.2799999999988</v>
      </c>
      <c r="P16" s="98">
        <f>SUM(M16:O16)</f>
        <v>23394.839999999997</v>
      </c>
      <c r="Q16" s="76">
        <f>O16</f>
        <v>7798.2799999999988</v>
      </c>
      <c r="R16" s="76">
        <f>Q16</f>
        <v>7798.2799999999988</v>
      </c>
      <c r="S16" s="76">
        <f>R16</f>
        <v>7798.2799999999988</v>
      </c>
      <c r="T16" s="98">
        <f>SUM(Q16:S16)</f>
        <v>23394.839999999997</v>
      </c>
      <c r="U16" s="149">
        <f t="shared" si="15"/>
        <v>92301.306999999986</v>
      </c>
    </row>
    <row r="17" spans="1:22" s="14" customFormat="1">
      <c r="A17" s="251" t="s">
        <v>25</v>
      </c>
      <c r="B17" s="24" t="s">
        <v>88</v>
      </c>
      <c r="C17" s="225">
        <v>2.99</v>
      </c>
      <c r="D17" s="28">
        <f t="shared" si="17"/>
        <v>8327.4490000000005</v>
      </c>
      <c r="E17" s="28">
        <f t="shared" ref="E17:E23" si="18">C17*$K$4</f>
        <v>8327.4490000000005</v>
      </c>
      <c r="F17" s="225">
        <v>3.99</v>
      </c>
      <c r="G17" s="28">
        <f>F17*K4</f>
        <v>11112.549000000001</v>
      </c>
      <c r="H17" s="20">
        <f t="shared" ref="H17:H27" si="19">SUM(D17:G17)</f>
        <v>27771.437000000005</v>
      </c>
      <c r="I17" s="28">
        <f>F17*K4</f>
        <v>11112.549000000001</v>
      </c>
      <c r="J17" s="28">
        <f>I17</f>
        <v>11112.549000000001</v>
      </c>
      <c r="K17" s="28">
        <f>J17</f>
        <v>11112.549000000001</v>
      </c>
      <c r="L17" s="22">
        <f t="shared" si="16"/>
        <v>33337.647000000004</v>
      </c>
      <c r="M17" s="28">
        <f>K17</f>
        <v>11112.549000000001</v>
      </c>
      <c r="N17" s="28">
        <f>M17</f>
        <v>11112.549000000001</v>
      </c>
      <c r="O17" s="28">
        <f>N17</f>
        <v>11112.549000000001</v>
      </c>
      <c r="P17" s="20">
        <f>SUM(M17:O17)</f>
        <v>33337.647000000004</v>
      </c>
      <c r="Q17" s="28">
        <f>O17</f>
        <v>11112.549000000001</v>
      </c>
      <c r="R17" s="28">
        <f>Q17</f>
        <v>11112.549000000001</v>
      </c>
      <c r="S17" s="28">
        <f>R17</f>
        <v>11112.549000000001</v>
      </c>
      <c r="T17" s="20">
        <f>SUM(Q17:S17)</f>
        <v>33337.647000000004</v>
      </c>
      <c r="U17" s="144">
        <f t="shared" si="15"/>
        <v>127784.37800000003</v>
      </c>
    </row>
    <row r="18" spans="1:22" s="14" customFormat="1" ht="15.75" thickBot="1">
      <c r="A18" s="252" t="s">
        <v>27</v>
      </c>
      <c r="B18" s="81" t="s">
        <v>30</v>
      </c>
      <c r="C18" s="226">
        <v>1.86</v>
      </c>
      <c r="D18" s="58">
        <f t="shared" si="17"/>
        <v>5180.2860000000001</v>
      </c>
      <c r="E18" s="94">
        <v>2405</v>
      </c>
      <c r="F18" s="226">
        <v>2.2000000000000002</v>
      </c>
      <c r="G18" s="58">
        <f>F18*K4</f>
        <v>6127.22</v>
      </c>
      <c r="H18" s="66">
        <f t="shared" si="19"/>
        <v>13714.706</v>
      </c>
      <c r="I18" s="58">
        <f>F18*K4</f>
        <v>6127.22</v>
      </c>
      <c r="J18" s="58">
        <f>F18*K4</f>
        <v>6127.22</v>
      </c>
      <c r="K18" s="58">
        <f>F18*K4</f>
        <v>6127.22</v>
      </c>
      <c r="L18" s="84">
        <f t="shared" si="16"/>
        <v>18381.66</v>
      </c>
      <c r="M18" s="58">
        <f>F18*K4</f>
        <v>6127.22</v>
      </c>
      <c r="N18" s="58">
        <f>F18*K4</f>
        <v>6127.22</v>
      </c>
      <c r="O18" s="94">
        <v>0</v>
      </c>
      <c r="P18" s="66">
        <f t="shared" ref="P18:P27" si="20">SUM(M18:O18)</f>
        <v>12254.44</v>
      </c>
      <c r="Q18" s="58">
        <f>F18*K4</f>
        <v>6127.22</v>
      </c>
      <c r="R18" s="58">
        <f>F18*K4</f>
        <v>6127.22</v>
      </c>
      <c r="S18" s="58">
        <f>F18*K4</f>
        <v>6127.22</v>
      </c>
      <c r="T18" s="66">
        <f t="shared" ref="T18:T27" si="21">SUM(Q18:S18)</f>
        <v>18381.66</v>
      </c>
      <c r="U18" s="147">
        <f t="shared" si="15"/>
        <v>62732.466</v>
      </c>
    </row>
    <row r="19" spans="1:22" s="14" customFormat="1" ht="15.75" thickBot="1">
      <c r="A19" s="257" t="s">
        <v>28</v>
      </c>
      <c r="B19" s="258" t="s">
        <v>40</v>
      </c>
      <c r="C19" s="241"/>
      <c r="D19" s="40">
        <v>3438</v>
      </c>
      <c r="E19" s="40">
        <v>8320</v>
      </c>
      <c r="F19" s="40"/>
      <c r="G19" s="40">
        <v>22095</v>
      </c>
      <c r="H19" s="119">
        <f t="shared" si="19"/>
        <v>33853</v>
      </c>
      <c r="I19" s="40">
        <v>23458</v>
      </c>
      <c r="J19" s="40">
        <v>1964</v>
      </c>
      <c r="K19" s="40">
        <v>74391</v>
      </c>
      <c r="L19" s="68">
        <f t="shared" si="16"/>
        <v>99813</v>
      </c>
      <c r="M19" s="115">
        <v>0</v>
      </c>
      <c r="N19" s="40">
        <v>30505</v>
      </c>
      <c r="O19" s="40"/>
      <c r="P19" s="119">
        <f t="shared" si="20"/>
        <v>30505</v>
      </c>
      <c r="Q19" s="40">
        <v>8197</v>
      </c>
      <c r="R19" s="40">
        <v>426</v>
      </c>
      <c r="S19" s="40">
        <v>4223</v>
      </c>
      <c r="T19" s="119">
        <f t="shared" si="21"/>
        <v>12846</v>
      </c>
      <c r="U19" s="125">
        <f t="shared" si="15"/>
        <v>177017</v>
      </c>
    </row>
    <row r="20" spans="1:22" s="14" customFormat="1">
      <c r="A20" s="250" t="s">
        <v>33</v>
      </c>
      <c r="B20" s="83" t="s">
        <v>39</v>
      </c>
      <c r="C20" s="228">
        <v>0.82</v>
      </c>
      <c r="D20" s="76">
        <f t="shared" si="17"/>
        <v>2283.7819999999997</v>
      </c>
      <c r="E20" s="76">
        <f t="shared" si="18"/>
        <v>2283.7819999999997</v>
      </c>
      <c r="F20" s="228">
        <v>1</v>
      </c>
      <c r="G20" s="76">
        <f>F20*K4</f>
        <v>2785.1</v>
      </c>
      <c r="H20" s="98">
        <f t="shared" si="19"/>
        <v>7353.6639999999989</v>
      </c>
      <c r="I20" s="76">
        <f>G20</f>
        <v>2785.1</v>
      </c>
      <c r="J20" s="76">
        <f t="shared" ref="J20:K22" si="22">I20</f>
        <v>2785.1</v>
      </c>
      <c r="K20" s="76">
        <f t="shared" si="22"/>
        <v>2785.1</v>
      </c>
      <c r="L20" s="85">
        <f t="shared" si="16"/>
        <v>8355.2999999999993</v>
      </c>
      <c r="M20" s="76">
        <f>K20</f>
        <v>2785.1</v>
      </c>
      <c r="N20" s="76">
        <f t="shared" ref="N20:O22" si="23">M20</f>
        <v>2785.1</v>
      </c>
      <c r="O20" s="76">
        <f t="shared" si="23"/>
        <v>2785.1</v>
      </c>
      <c r="P20" s="98">
        <f t="shared" si="20"/>
        <v>8355.2999999999993</v>
      </c>
      <c r="Q20" s="76">
        <f>O20</f>
        <v>2785.1</v>
      </c>
      <c r="R20" s="76">
        <f t="shared" ref="R20:S22" si="24">Q20</f>
        <v>2785.1</v>
      </c>
      <c r="S20" s="76">
        <f t="shared" si="24"/>
        <v>2785.1</v>
      </c>
      <c r="T20" s="98">
        <f t="shared" si="21"/>
        <v>8355.2999999999993</v>
      </c>
      <c r="U20" s="149">
        <f t="shared" si="15"/>
        <v>32419.563999999995</v>
      </c>
    </row>
    <row r="21" spans="1:22" s="14" customFormat="1">
      <c r="A21" s="251" t="s">
        <v>34</v>
      </c>
      <c r="B21" s="24" t="s">
        <v>41</v>
      </c>
      <c r="C21" s="225">
        <v>0.12</v>
      </c>
      <c r="D21" s="28">
        <f t="shared" si="17"/>
        <v>334.21199999999999</v>
      </c>
      <c r="E21" s="28">
        <f t="shared" si="18"/>
        <v>334.21199999999999</v>
      </c>
      <c r="F21" s="225">
        <v>0.2</v>
      </c>
      <c r="G21" s="28">
        <f>F21*K4</f>
        <v>557.02</v>
      </c>
      <c r="H21" s="20">
        <f t="shared" si="19"/>
        <v>1225.644</v>
      </c>
      <c r="I21" s="28">
        <f>F21*K4</f>
        <v>557.02</v>
      </c>
      <c r="J21" s="28">
        <f t="shared" si="22"/>
        <v>557.02</v>
      </c>
      <c r="K21" s="28">
        <f t="shared" si="22"/>
        <v>557.02</v>
      </c>
      <c r="L21" s="22">
        <f t="shared" si="16"/>
        <v>1671.06</v>
      </c>
      <c r="M21" s="28">
        <f>K21</f>
        <v>557.02</v>
      </c>
      <c r="N21" s="28">
        <f t="shared" si="23"/>
        <v>557.02</v>
      </c>
      <c r="O21" s="28">
        <f t="shared" si="23"/>
        <v>557.02</v>
      </c>
      <c r="P21" s="20">
        <f t="shared" si="20"/>
        <v>1671.06</v>
      </c>
      <c r="Q21" s="28">
        <f>O21</f>
        <v>557.02</v>
      </c>
      <c r="R21" s="28">
        <f t="shared" si="24"/>
        <v>557.02</v>
      </c>
      <c r="S21" s="28">
        <f t="shared" si="24"/>
        <v>557.02</v>
      </c>
      <c r="T21" s="20">
        <f t="shared" si="21"/>
        <v>1671.06</v>
      </c>
      <c r="U21" s="144">
        <f t="shared" si="15"/>
        <v>6238.8239999999987</v>
      </c>
    </row>
    <row r="22" spans="1:22" s="14" customFormat="1">
      <c r="A22" s="251" t="s">
        <v>35</v>
      </c>
      <c r="B22" s="24" t="s">
        <v>133</v>
      </c>
      <c r="C22" s="225"/>
      <c r="D22" s="28"/>
      <c r="E22" s="28"/>
      <c r="F22" s="225">
        <v>1.5</v>
      </c>
      <c r="G22" s="28">
        <f>F22*K4</f>
        <v>4177.6499999999996</v>
      </c>
      <c r="H22" s="20">
        <f>D22+E22+G22</f>
        <v>4177.6499999999996</v>
      </c>
      <c r="I22" s="28">
        <f>G22</f>
        <v>4177.6499999999996</v>
      </c>
      <c r="J22" s="28">
        <f t="shared" si="22"/>
        <v>4177.6499999999996</v>
      </c>
      <c r="K22" s="28">
        <f t="shared" si="22"/>
        <v>4177.6499999999996</v>
      </c>
      <c r="L22" s="22">
        <f>I22+J22+K22</f>
        <v>12532.949999999999</v>
      </c>
      <c r="M22" s="28">
        <f>K22</f>
        <v>4177.6499999999996</v>
      </c>
      <c r="N22" s="28">
        <f t="shared" si="23"/>
        <v>4177.6499999999996</v>
      </c>
      <c r="O22" s="28">
        <f t="shared" si="23"/>
        <v>4177.6499999999996</v>
      </c>
      <c r="P22" s="20">
        <f>M22+N22+O22</f>
        <v>12532.949999999999</v>
      </c>
      <c r="Q22" s="28">
        <f>O22</f>
        <v>4177.6499999999996</v>
      </c>
      <c r="R22" s="28">
        <f t="shared" si="24"/>
        <v>4177.6499999999996</v>
      </c>
      <c r="S22" s="28">
        <f t="shared" si="24"/>
        <v>4177.6499999999996</v>
      </c>
      <c r="T22" s="20">
        <f>Q22+R22+S22</f>
        <v>12532.949999999999</v>
      </c>
      <c r="U22" s="144">
        <f t="shared" si="15"/>
        <v>41776.499999999993</v>
      </c>
    </row>
    <row r="23" spans="1:22" s="14" customFormat="1" ht="15.75" thickBot="1">
      <c r="A23" s="251" t="s">
        <v>124</v>
      </c>
      <c r="B23" s="24" t="s">
        <v>89</v>
      </c>
      <c r="C23" s="225"/>
      <c r="D23" s="28">
        <f t="shared" si="17"/>
        <v>0</v>
      </c>
      <c r="E23" s="28">
        <f t="shared" si="18"/>
        <v>0</v>
      </c>
      <c r="F23" s="225"/>
      <c r="G23" s="28">
        <f t="shared" ref="G23" si="25">C23*$K$4</f>
        <v>0</v>
      </c>
      <c r="H23" s="20">
        <f t="shared" si="19"/>
        <v>0</v>
      </c>
      <c r="I23" s="28">
        <f t="shared" ref="I23" si="26">C23*$K$4</f>
        <v>0</v>
      </c>
      <c r="J23" s="28">
        <f t="shared" ref="J23" si="27">C23*$K$4</f>
        <v>0</v>
      </c>
      <c r="K23" s="28">
        <v>0</v>
      </c>
      <c r="L23" s="22">
        <f t="shared" si="16"/>
        <v>0</v>
      </c>
      <c r="M23" s="28">
        <v>0</v>
      </c>
      <c r="N23" s="28">
        <v>0</v>
      </c>
      <c r="O23" s="28">
        <v>0</v>
      </c>
      <c r="P23" s="20">
        <f t="shared" si="20"/>
        <v>0</v>
      </c>
      <c r="Q23" s="28">
        <v>0</v>
      </c>
      <c r="R23" s="28">
        <v>0</v>
      </c>
      <c r="S23" s="28">
        <v>0</v>
      </c>
      <c r="T23" s="20">
        <f t="shared" si="21"/>
        <v>0</v>
      </c>
      <c r="U23" s="144">
        <f t="shared" si="15"/>
        <v>0</v>
      </c>
    </row>
    <row r="24" spans="1:22" s="14" customFormat="1" ht="15.75" thickBot="1">
      <c r="A24" s="256" t="s">
        <v>125</v>
      </c>
      <c r="B24" s="82" t="s">
        <v>90</v>
      </c>
      <c r="C24" s="241"/>
      <c r="D24" s="42">
        <f>SUM(D26:D27)</f>
        <v>0</v>
      </c>
      <c r="E24" s="42">
        <f>SUM(E26:E27)</f>
        <v>0</v>
      </c>
      <c r="F24" s="241"/>
      <c r="G24" s="42">
        <f>SUM(G26:G27)</f>
        <v>1281.1300000000001</v>
      </c>
      <c r="H24" s="67">
        <f t="shared" si="19"/>
        <v>1281.1300000000001</v>
      </c>
      <c r="I24" s="42">
        <f>SUM(I26:I27)</f>
        <v>0</v>
      </c>
      <c r="J24" s="42">
        <f>SUM(J26:J27)</f>
        <v>0</v>
      </c>
      <c r="K24" s="40">
        <f>SUM(K26:K27)</f>
        <v>0</v>
      </c>
      <c r="L24" s="69">
        <f t="shared" si="16"/>
        <v>0</v>
      </c>
      <c r="M24" s="42">
        <f>SUM(M26:M27)</f>
        <v>0</v>
      </c>
      <c r="N24" s="42">
        <f>SUM(N26:N27)</f>
        <v>0</v>
      </c>
      <c r="O24" s="42">
        <f>SUM(O26:O27)</f>
        <v>0</v>
      </c>
      <c r="P24" s="67">
        <f t="shared" si="20"/>
        <v>0</v>
      </c>
      <c r="Q24" s="42">
        <f>SUM(Q26:Q27)</f>
        <v>0</v>
      </c>
      <c r="R24" s="42">
        <f>SUM(R26:R27)</f>
        <v>0</v>
      </c>
      <c r="S24" s="42">
        <f>SUM(S26:S27)</f>
        <v>0</v>
      </c>
      <c r="T24" s="67">
        <f t="shared" si="21"/>
        <v>0</v>
      </c>
      <c r="U24" s="73">
        <f t="shared" si="15"/>
        <v>1281.1300000000001</v>
      </c>
    </row>
    <row r="25" spans="1:22" s="14" customFormat="1">
      <c r="A25" s="250"/>
      <c r="B25" s="83" t="s">
        <v>44</v>
      </c>
      <c r="C25" s="259"/>
      <c r="D25" s="76"/>
      <c r="E25" s="76"/>
      <c r="F25" s="259"/>
      <c r="G25" s="76"/>
      <c r="H25" s="98">
        <f t="shared" si="19"/>
        <v>0</v>
      </c>
      <c r="I25" s="76"/>
      <c r="J25" s="76"/>
      <c r="K25" s="76"/>
      <c r="L25" s="85">
        <f t="shared" si="16"/>
        <v>0</v>
      </c>
      <c r="M25" s="76"/>
      <c r="N25" s="76"/>
      <c r="O25" s="76"/>
      <c r="P25" s="98">
        <f t="shared" si="20"/>
        <v>0</v>
      </c>
      <c r="Q25" s="76"/>
      <c r="R25" s="76"/>
      <c r="S25" s="76"/>
      <c r="T25" s="98">
        <f t="shared" si="21"/>
        <v>0</v>
      </c>
      <c r="U25" s="149">
        <f t="shared" si="15"/>
        <v>0</v>
      </c>
    </row>
    <row r="26" spans="1:22" s="14" customFormat="1">
      <c r="A26" s="251"/>
      <c r="B26" s="24" t="s">
        <v>91</v>
      </c>
      <c r="C26" s="260"/>
      <c r="D26" s="28"/>
      <c r="E26" s="28"/>
      <c r="F26" s="260"/>
      <c r="G26" s="28"/>
      <c r="H26" s="20">
        <f t="shared" si="19"/>
        <v>0</v>
      </c>
      <c r="I26" s="28"/>
      <c r="J26" s="28"/>
      <c r="K26" s="30"/>
      <c r="L26" s="22">
        <f t="shared" si="16"/>
        <v>0</v>
      </c>
      <c r="M26" s="28"/>
      <c r="N26" s="28"/>
      <c r="O26" s="28"/>
      <c r="P26" s="20">
        <f t="shared" si="20"/>
        <v>0</v>
      </c>
      <c r="Q26" s="28"/>
      <c r="R26" s="28"/>
      <c r="S26" s="28"/>
      <c r="T26" s="20">
        <f t="shared" si="21"/>
        <v>0</v>
      </c>
      <c r="U26" s="144">
        <f t="shared" si="15"/>
        <v>0</v>
      </c>
    </row>
    <row r="27" spans="1:22" s="14" customFormat="1">
      <c r="A27" s="251"/>
      <c r="B27" s="24" t="s">
        <v>53</v>
      </c>
      <c r="C27" s="260"/>
      <c r="D27" s="28"/>
      <c r="E27" s="28"/>
      <c r="F27" s="260"/>
      <c r="G27" s="30">
        <v>1281.1300000000001</v>
      </c>
      <c r="H27" s="20">
        <f t="shared" si="19"/>
        <v>1281.1300000000001</v>
      </c>
      <c r="I27" s="28"/>
      <c r="J27" s="28"/>
      <c r="K27" s="30"/>
      <c r="L27" s="20">
        <f t="shared" ref="L27" si="28">SUM(I27:K27)</f>
        <v>0</v>
      </c>
      <c r="M27" s="28"/>
      <c r="N27" s="28"/>
      <c r="O27" s="28"/>
      <c r="P27" s="20">
        <f t="shared" si="20"/>
        <v>0</v>
      </c>
      <c r="Q27" s="28"/>
      <c r="R27" s="28"/>
      <c r="S27" s="30"/>
      <c r="T27" s="20">
        <f t="shared" si="21"/>
        <v>0</v>
      </c>
      <c r="U27" s="144">
        <f t="shared" si="15"/>
        <v>1281.1300000000001</v>
      </c>
    </row>
    <row r="28" spans="1:22" s="14" customFormat="1" ht="15.75" thickBot="1">
      <c r="A28" s="261"/>
      <c r="B28" s="189" t="s">
        <v>43</v>
      </c>
      <c r="C28" s="262"/>
      <c r="D28" s="190"/>
      <c r="E28" s="156"/>
      <c r="F28" s="262"/>
      <c r="G28" s="156"/>
      <c r="H28" s="155">
        <f>H11-H15</f>
        <v>15376.832000000009</v>
      </c>
      <c r="I28" s="156"/>
      <c r="J28" s="156"/>
      <c r="K28" s="156"/>
      <c r="L28" s="155">
        <f>L11-L15</f>
        <v>-63960.497000000003</v>
      </c>
      <c r="M28" s="157"/>
      <c r="N28" s="157"/>
      <c r="O28" s="156"/>
      <c r="P28" s="155">
        <f>P11-P15</f>
        <v>15082.913</v>
      </c>
      <c r="Q28" s="156"/>
      <c r="R28" s="156"/>
      <c r="S28" s="156"/>
      <c r="T28" s="155">
        <f>T11-T15</f>
        <v>29634.163</v>
      </c>
      <c r="U28" s="158">
        <f t="shared" si="15"/>
        <v>-3866.5889999999927</v>
      </c>
      <c r="V28" s="133"/>
    </row>
  </sheetData>
  <mergeCells count="4">
    <mergeCell ref="A1:L1"/>
    <mergeCell ref="A2:L2"/>
    <mergeCell ref="A3:L3"/>
    <mergeCell ref="S3:W3"/>
  </mergeCells>
  <pageMargins left="0.7" right="0.7" top="0.75" bottom="0.75" header="0.3" footer="0.3"/>
  <pageSetup paperSize="9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zoomScaleNormal="100" workbookViewId="0">
      <selection activeCell="B30" sqref="B30"/>
    </sheetView>
  </sheetViews>
  <sheetFormatPr defaultRowHeight="15"/>
  <cols>
    <col min="1" max="1" width="6" customWidth="1"/>
    <col min="2" max="2" width="43.42578125" customWidth="1"/>
    <col min="3" max="9" width="9.28515625" bestFit="1" customWidth="1"/>
    <col min="10" max="10" width="9.85546875" customWidth="1"/>
    <col min="11" max="16" width="9.28515625" bestFit="1" customWidth="1"/>
    <col min="17" max="17" width="9.42578125" bestFit="1" customWidth="1"/>
    <col min="18" max="21" width="9.28515625" bestFit="1" customWidth="1"/>
    <col min="22" max="22" width="10.7109375" customWidth="1"/>
    <col min="23" max="23" width="9.28515625" bestFit="1" customWidth="1"/>
  </cols>
  <sheetData>
    <row r="1" spans="1:22" s="14" customFormat="1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62"/>
      <c r="R1" s="13" t="s">
        <v>94</v>
      </c>
      <c r="S1" s="13"/>
      <c r="T1" s="13"/>
      <c r="U1" s="13"/>
      <c r="V1" s="13"/>
    </row>
    <row r="2" spans="1:22" s="14" customFormat="1">
      <c r="A2" s="371" t="s">
        <v>139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62"/>
      <c r="R2" s="13" t="s">
        <v>95</v>
      </c>
      <c r="S2" s="13"/>
      <c r="T2" s="13"/>
      <c r="U2" s="13"/>
      <c r="V2" s="13"/>
    </row>
    <row r="3" spans="1:22" s="14" customFormat="1">
      <c r="A3" s="372" t="s">
        <v>108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66"/>
      <c r="R3" s="373" t="s">
        <v>138</v>
      </c>
      <c r="S3" s="373"/>
      <c r="T3" s="373"/>
      <c r="U3" s="373"/>
      <c r="V3" s="373"/>
    </row>
    <row r="4" spans="1:22" s="14" customFormat="1" ht="15.75" thickBot="1">
      <c r="B4" s="14" t="s">
        <v>97</v>
      </c>
      <c r="K4" s="14">
        <v>4895</v>
      </c>
    </row>
    <row r="5" spans="1:22" s="14" customFormat="1">
      <c r="A5" s="184"/>
      <c r="B5" s="138" t="s">
        <v>2</v>
      </c>
      <c r="C5" s="206" t="s">
        <v>3</v>
      </c>
      <c r="D5" s="138" t="s">
        <v>4</v>
      </c>
      <c r="E5" s="312" t="s">
        <v>3</v>
      </c>
      <c r="F5" s="138" t="s">
        <v>5</v>
      </c>
      <c r="G5" s="138" t="s">
        <v>6</v>
      </c>
      <c r="H5" s="137" t="s">
        <v>7</v>
      </c>
      <c r="I5" s="138" t="s">
        <v>8</v>
      </c>
      <c r="J5" s="138" t="s">
        <v>9</v>
      </c>
      <c r="K5" s="138" t="s">
        <v>10</v>
      </c>
      <c r="L5" s="139" t="s">
        <v>11</v>
      </c>
      <c r="M5" s="312" t="s">
        <v>3</v>
      </c>
      <c r="N5" s="138" t="s">
        <v>54</v>
      </c>
      <c r="O5" s="138" t="s">
        <v>55</v>
      </c>
      <c r="P5" s="138" t="s">
        <v>56</v>
      </c>
      <c r="Q5" s="139" t="s">
        <v>57</v>
      </c>
      <c r="R5" s="138" t="s">
        <v>63</v>
      </c>
      <c r="S5" s="138" t="s">
        <v>64</v>
      </c>
      <c r="T5" s="138" t="s">
        <v>65</v>
      </c>
      <c r="U5" s="139" t="s">
        <v>66</v>
      </c>
      <c r="V5" s="176" t="s">
        <v>71</v>
      </c>
    </row>
    <row r="6" spans="1:22" s="14" customFormat="1" ht="31.5" customHeight="1">
      <c r="A6" s="185" t="s">
        <v>12</v>
      </c>
      <c r="B6" s="24" t="s">
        <v>13</v>
      </c>
      <c r="C6" s="207"/>
      <c r="D6" s="26">
        <f>SUM(D7:D10)</f>
        <v>77732.599999999991</v>
      </c>
      <c r="E6" s="313"/>
      <c r="F6" s="26">
        <f>F7+F8+F9+F10</f>
        <v>77732.600000000006</v>
      </c>
      <c r="G6" s="26">
        <f t="shared" ref="G6:U6" si="0">SUM(G7:G10)</f>
        <v>77732.600000000006</v>
      </c>
      <c r="H6" s="20">
        <f t="shared" si="0"/>
        <v>233213.68000000002</v>
      </c>
      <c r="I6" s="26">
        <f t="shared" si="0"/>
        <v>77732.600000000006</v>
      </c>
      <c r="J6" s="26">
        <f t="shared" si="0"/>
        <v>77732.600000000006</v>
      </c>
      <c r="K6" s="26">
        <f t="shared" si="0"/>
        <v>77732.600000000006</v>
      </c>
      <c r="L6" s="20">
        <f t="shared" si="0"/>
        <v>233197.80000000002</v>
      </c>
      <c r="M6" s="313"/>
      <c r="N6" s="26">
        <f t="shared" si="0"/>
        <v>80424.850000000006</v>
      </c>
      <c r="O6" s="26">
        <f t="shared" si="0"/>
        <v>80424.850000000006</v>
      </c>
      <c r="P6" s="26">
        <f t="shared" si="0"/>
        <v>80424.850000000006</v>
      </c>
      <c r="Q6" s="20">
        <f t="shared" si="0"/>
        <v>241274.55</v>
      </c>
      <c r="R6" s="26">
        <f t="shared" si="0"/>
        <v>80424.850000000006</v>
      </c>
      <c r="S6" s="26">
        <f t="shared" si="0"/>
        <v>79510.850000000006</v>
      </c>
      <c r="T6" s="26">
        <f t="shared" si="0"/>
        <v>80424.850000000006</v>
      </c>
      <c r="U6" s="20">
        <f t="shared" si="0"/>
        <v>240360.55</v>
      </c>
      <c r="V6" s="144">
        <f t="shared" ref="V6:V11" si="1">H6+L6+Q6+U6</f>
        <v>948046.58000000007</v>
      </c>
    </row>
    <row r="7" spans="1:22" s="14" customFormat="1">
      <c r="A7" s="185" t="s">
        <v>14</v>
      </c>
      <c r="B7" s="24" t="s">
        <v>15</v>
      </c>
      <c r="C7" s="203">
        <v>11.45</v>
      </c>
      <c r="D7" s="28">
        <f>C7*K4</f>
        <v>56047.75</v>
      </c>
      <c r="E7" s="314">
        <v>10.88</v>
      </c>
      <c r="F7" s="28">
        <f>E7*K4</f>
        <v>53257.600000000006</v>
      </c>
      <c r="G7" s="28">
        <f>F7</f>
        <v>53257.600000000006</v>
      </c>
      <c r="H7" s="20">
        <f>SUM(D7:G7)</f>
        <v>162573.83000000002</v>
      </c>
      <c r="I7" s="28">
        <f>G7</f>
        <v>53257.600000000006</v>
      </c>
      <c r="J7" s="28">
        <f>I7</f>
        <v>53257.600000000006</v>
      </c>
      <c r="K7" s="28">
        <f>J7</f>
        <v>53257.600000000006</v>
      </c>
      <c r="L7" s="22">
        <f>I7+J7+K7</f>
        <v>159772.80000000002</v>
      </c>
      <c r="M7" s="314">
        <v>11.43</v>
      </c>
      <c r="N7" s="28">
        <f>M7*K4</f>
        <v>55949.85</v>
      </c>
      <c r="O7" s="28">
        <f>N7</f>
        <v>55949.85</v>
      </c>
      <c r="P7" s="28">
        <f>O7</f>
        <v>55949.85</v>
      </c>
      <c r="Q7" s="22">
        <f>SUM(N7:P7)</f>
        <v>167849.55</v>
      </c>
      <c r="R7" s="28">
        <f>P7</f>
        <v>55949.85</v>
      </c>
      <c r="S7" s="28">
        <f>R7</f>
        <v>55949.85</v>
      </c>
      <c r="T7" s="28">
        <f>S7</f>
        <v>55949.85</v>
      </c>
      <c r="U7" s="22">
        <f>SUM(R7:T7)</f>
        <v>167849.55</v>
      </c>
      <c r="V7" s="144">
        <f t="shared" si="1"/>
        <v>658045.73</v>
      </c>
    </row>
    <row r="8" spans="1:22" s="14" customFormat="1">
      <c r="A8" s="185" t="s">
        <v>16</v>
      </c>
      <c r="B8" s="24" t="s">
        <v>17</v>
      </c>
      <c r="C8" s="203">
        <v>2.57</v>
      </c>
      <c r="D8" s="28">
        <f>C8*K4</f>
        <v>12580.15</v>
      </c>
      <c r="E8" s="314">
        <v>2.8</v>
      </c>
      <c r="F8" s="28">
        <f>E8*K4</f>
        <v>13706</v>
      </c>
      <c r="G8" s="28">
        <f>E8*K4</f>
        <v>13706</v>
      </c>
      <c r="H8" s="20">
        <f>SUM(D8:G8)</f>
        <v>39994.949999999997</v>
      </c>
      <c r="I8" s="28">
        <f>E8*K4</f>
        <v>13706</v>
      </c>
      <c r="J8" s="28">
        <f>E8*K4</f>
        <v>13706</v>
      </c>
      <c r="K8" s="28">
        <f>E8*K4</f>
        <v>13706</v>
      </c>
      <c r="L8" s="22">
        <f>I8+J8+K8</f>
        <v>41118</v>
      </c>
      <c r="M8" s="314">
        <v>2.8</v>
      </c>
      <c r="N8" s="28">
        <f>E8*K4</f>
        <v>13706</v>
      </c>
      <c r="O8" s="28">
        <f>E8*K4</f>
        <v>13706</v>
      </c>
      <c r="P8" s="28">
        <f>E8*K4</f>
        <v>13706</v>
      </c>
      <c r="Q8" s="22">
        <f t="shared" ref="Q8:Q10" si="2">SUM(N8:P8)</f>
        <v>41118</v>
      </c>
      <c r="R8" s="28">
        <f>E8*K4</f>
        <v>13706</v>
      </c>
      <c r="S8" s="30">
        <v>12792</v>
      </c>
      <c r="T8" s="28">
        <f>E8*K4</f>
        <v>13706</v>
      </c>
      <c r="U8" s="22">
        <f t="shared" ref="U8:U10" si="3">SUM(R8:T8)</f>
        <v>40204</v>
      </c>
      <c r="V8" s="144">
        <f t="shared" si="1"/>
        <v>162434.95000000001</v>
      </c>
    </row>
    <row r="9" spans="1:22" s="14" customFormat="1">
      <c r="A9" s="185" t="s">
        <v>18</v>
      </c>
      <c r="B9" s="24" t="s">
        <v>30</v>
      </c>
      <c r="C9" s="203">
        <v>1.86</v>
      </c>
      <c r="D9" s="28">
        <f>C9*K4</f>
        <v>9104.7000000000007</v>
      </c>
      <c r="E9" s="314">
        <v>2.2000000000000002</v>
      </c>
      <c r="F9" s="28">
        <f>E9*K4</f>
        <v>10769</v>
      </c>
      <c r="G9" s="28">
        <f>E9*K4</f>
        <v>10769</v>
      </c>
      <c r="H9" s="20">
        <f t="shared" ref="H9:H11" si="4">SUM(D9:G9)</f>
        <v>30644.9</v>
      </c>
      <c r="I9" s="28">
        <f>E9*K4</f>
        <v>10769</v>
      </c>
      <c r="J9" s="28">
        <f>E9*K4</f>
        <v>10769</v>
      </c>
      <c r="K9" s="28">
        <f>E9*K4</f>
        <v>10769</v>
      </c>
      <c r="L9" s="22">
        <f>I9+J9+K9</f>
        <v>32307</v>
      </c>
      <c r="M9" s="314">
        <v>2.2000000000000002</v>
      </c>
      <c r="N9" s="28">
        <f>E9*K4</f>
        <v>10769</v>
      </c>
      <c r="O9" s="28">
        <f>E9*K4</f>
        <v>10769</v>
      </c>
      <c r="P9" s="28">
        <f>E9*K4</f>
        <v>10769</v>
      </c>
      <c r="Q9" s="22">
        <f t="shared" si="2"/>
        <v>32307</v>
      </c>
      <c r="R9" s="28">
        <f>E9*K4</f>
        <v>10769</v>
      </c>
      <c r="S9" s="28">
        <f>E9*K4</f>
        <v>10769</v>
      </c>
      <c r="T9" s="28">
        <f>E9*K4</f>
        <v>10769</v>
      </c>
      <c r="U9" s="22">
        <f t="shared" si="3"/>
        <v>32307</v>
      </c>
      <c r="V9" s="144">
        <f t="shared" si="1"/>
        <v>127565.9</v>
      </c>
    </row>
    <row r="10" spans="1:22" s="14" customFormat="1" ht="15.75" thickBot="1">
      <c r="A10" s="186" t="s">
        <v>31</v>
      </c>
      <c r="B10" s="81" t="s">
        <v>19</v>
      </c>
      <c r="C10" s="204"/>
      <c r="D10" s="58">
        <f t="shared" ref="D10" si="5">C10*$K$4</f>
        <v>0</v>
      </c>
      <c r="E10" s="315"/>
      <c r="F10" s="58">
        <f t="shared" ref="F10" si="6">C10*$K$4</f>
        <v>0</v>
      </c>
      <c r="G10" s="58">
        <f t="shared" ref="G10" si="7">C10*$K$4</f>
        <v>0</v>
      </c>
      <c r="H10" s="66">
        <f t="shared" si="4"/>
        <v>0</v>
      </c>
      <c r="I10" s="58">
        <f t="shared" ref="I10" si="8">C10*$K$4</f>
        <v>0</v>
      </c>
      <c r="J10" s="58">
        <f t="shared" ref="J10" si="9">C10*$K$4</f>
        <v>0</v>
      </c>
      <c r="K10" s="58">
        <f>C10*$K$4</f>
        <v>0</v>
      </c>
      <c r="L10" s="84">
        <f>I10+J10+K10</f>
        <v>0</v>
      </c>
      <c r="M10" s="315"/>
      <c r="N10" s="58">
        <f>C10*$K$4</f>
        <v>0</v>
      </c>
      <c r="O10" s="58">
        <f>C10*$K$4</f>
        <v>0</v>
      </c>
      <c r="P10" s="58">
        <f>C10*$K$4</f>
        <v>0</v>
      </c>
      <c r="Q10" s="84">
        <f t="shared" si="2"/>
        <v>0</v>
      </c>
      <c r="R10" s="58">
        <f>C10*$K$4</f>
        <v>0</v>
      </c>
      <c r="S10" s="58">
        <f>C10*$K$4</f>
        <v>0</v>
      </c>
      <c r="T10" s="58">
        <f>C10*$K$4</f>
        <v>0</v>
      </c>
      <c r="U10" s="84">
        <f t="shared" si="3"/>
        <v>0</v>
      </c>
      <c r="V10" s="147">
        <f t="shared" si="1"/>
        <v>0</v>
      </c>
    </row>
    <row r="11" spans="1:22" s="14" customFormat="1" ht="15.75" thickBot="1">
      <c r="A11" s="123" t="s">
        <v>32</v>
      </c>
      <c r="B11" s="82" t="s">
        <v>20</v>
      </c>
      <c r="C11" s="208"/>
      <c r="D11" s="40">
        <v>59637.14</v>
      </c>
      <c r="E11" s="316"/>
      <c r="F11" s="40">
        <v>65486.06</v>
      </c>
      <c r="G11" s="40">
        <v>63960.72</v>
      </c>
      <c r="H11" s="119">
        <f t="shared" si="4"/>
        <v>189083.91999999998</v>
      </c>
      <c r="I11" s="40">
        <v>98117.88</v>
      </c>
      <c r="J11" s="40">
        <v>96096.29</v>
      </c>
      <c r="K11" s="40">
        <v>73030.7</v>
      </c>
      <c r="L11" s="68">
        <f>I11+J11+K11+K12</f>
        <v>274144.87</v>
      </c>
      <c r="M11" s="316"/>
      <c r="N11" s="40">
        <v>77409.81</v>
      </c>
      <c r="O11" s="40">
        <v>86310.09</v>
      </c>
      <c r="P11" s="40">
        <v>70582.97</v>
      </c>
      <c r="Q11" s="69">
        <f>SUM(N11:P11)</f>
        <v>234302.87</v>
      </c>
      <c r="R11" s="40">
        <v>89342.080000000002</v>
      </c>
      <c r="S11" s="40">
        <v>69331.33</v>
      </c>
      <c r="T11" s="40">
        <v>109928.86</v>
      </c>
      <c r="U11" s="68">
        <f>SUM(R11:T11)+T12</f>
        <v>277302.27</v>
      </c>
      <c r="V11" s="125">
        <f t="shared" si="1"/>
        <v>974833.92999999993</v>
      </c>
    </row>
    <row r="12" spans="1:22" s="14" customFormat="1">
      <c r="A12" s="187"/>
      <c r="B12" s="83" t="s">
        <v>87</v>
      </c>
      <c r="C12" s="205"/>
      <c r="D12" s="76"/>
      <c r="E12" s="317"/>
      <c r="F12" s="76"/>
      <c r="G12" s="76"/>
      <c r="H12" s="98"/>
      <c r="I12" s="76"/>
      <c r="J12" s="76"/>
      <c r="K12" s="231">
        <v>6900</v>
      </c>
      <c r="L12" s="85"/>
      <c r="M12" s="317"/>
      <c r="N12" s="76"/>
      <c r="O12" s="76"/>
      <c r="P12" s="76"/>
      <c r="Q12" s="85"/>
      <c r="R12" s="76"/>
      <c r="S12" s="76"/>
      <c r="T12" s="231">
        <f>6900+1800</f>
        <v>8700</v>
      </c>
      <c r="U12" s="85"/>
      <c r="V12" s="149"/>
    </row>
    <row r="13" spans="1:22" s="14" customFormat="1">
      <c r="A13" s="185"/>
      <c r="B13" s="24" t="s">
        <v>21</v>
      </c>
      <c r="C13" s="203"/>
      <c r="D13" s="28">
        <f>D11-D6</f>
        <v>-18095.459999999992</v>
      </c>
      <c r="E13" s="314"/>
      <c r="F13" s="28">
        <f t="shared" ref="F13:U13" si="10">F11-F6</f>
        <v>-12246.540000000008</v>
      </c>
      <c r="G13" s="28">
        <f t="shared" si="10"/>
        <v>-13771.880000000005</v>
      </c>
      <c r="H13" s="22">
        <f t="shared" si="10"/>
        <v>-44129.760000000038</v>
      </c>
      <c r="I13" s="28">
        <f t="shared" si="10"/>
        <v>20385.28</v>
      </c>
      <c r="J13" s="28">
        <f t="shared" si="10"/>
        <v>18363.689999999988</v>
      </c>
      <c r="K13" s="28">
        <f t="shared" si="10"/>
        <v>-4701.9000000000087</v>
      </c>
      <c r="L13" s="22">
        <f t="shared" si="10"/>
        <v>40947.069999999978</v>
      </c>
      <c r="M13" s="314"/>
      <c r="N13" s="28">
        <f t="shared" si="10"/>
        <v>-3015.0400000000081</v>
      </c>
      <c r="O13" s="28">
        <f t="shared" si="10"/>
        <v>5885.2399999999907</v>
      </c>
      <c r="P13" s="28">
        <f t="shared" si="10"/>
        <v>-9841.8800000000047</v>
      </c>
      <c r="Q13" s="22">
        <f t="shared" si="10"/>
        <v>-6971.679999999993</v>
      </c>
      <c r="R13" s="28">
        <f t="shared" si="10"/>
        <v>8917.2299999999959</v>
      </c>
      <c r="S13" s="28">
        <f t="shared" si="10"/>
        <v>-10179.520000000004</v>
      </c>
      <c r="T13" s="28">
        <f t="shared" si="10"/>
        <v>29504.009999999995</v>
      </c>
      <c r="U13" s="22">
        <f t="shared" si="10"/>
        <v>36941.72000000003</v>
      </c>
      <c r="V13" s="144">
        <f t="shared" ref="V13:V27" si="11">H13+L13+Q13+U13</f>
        <v>26787.349999999977</v>
      </c>
    </row>
    <row r="14" spans="1:22" s="14" customFormat="1" ht="30" customHeight="1">
      <c r="A14" s="185" t="s">
        <v>22</v>
      </c>
      <c r="B14" s="24" t="s">
        <v>23</v>
      </c>
      <c r="C14" s="203"/>
      <c r="D14" s="28">
        <f>SUM(D15:D23)</f>
        <v>52229.200000000004</v>
      </c>
      <c r="E14" s="314"/>
      <c r="F14" s="28">
        <f>SUM(F15:F23)</f>
        <v>57222.55</v>
      </c>
      <c r="G14" s="28">
        <f>SUM(G15:G23)</f>
        <v>58235.55</v>
      </c>
      <c r="H14" s="20">
        <f>SUM(D14:G14)</f>
        <v>167687.29999999999</v>
      </c>
      <c r="I14" s="28">
        <f>SUM(I15:I23)</f>
        <v>68588.55</v>
      </c>
      <c r="J14" s="28">
        <f>SUM(J15:J23)</f>
        <v>61803.55</v>
      </c>
      <c r="K14" s="28">
        <f>SUM(K15:K23)</f>
        <v>57222.55</v>
      </c>
      <c r="L14" s="22">
        <f t="shared" ref="L14:L26" si="12">I14+J14+K14</f>
        <v>187614.65000000002</v>
      </c>
      <c r="M14" s="314"/>
      <c r="N14" s="28">
        <f>SUM(N15:N23)</f>
        <v>57748.55</v>
      </c>
      <c r="O14" s="28">
        <f>SUM(O15:O23)</f>
        <v>98810.55</v>
      </c>
      <c r="P14" s="28">
        <f>SUM(P15:P23)</f>
        <v>339785.55</v>
      </c>
      <c r="Q14" s="20">
        <f>SUM(N14:P14)</f>
        <v>496344.65</v>
      </c>
      <c r="R14" s="28">
        <f>SUM(R15:R23)</f>
        <v>76749.55</v>
      </c>
      <c r="S14" s="28">
        <f>SUM(S15:S23)</f>
        <v>58534.55</v>
      </c>
      <c r="T14" s="28">
        <f>SUM(T15:T23)</f>
        <v>69752.55</v>
      </c>
      <c r="U14" s="20">
        <f>SUM(R14:T14)</f>
        <v>205036.65000000002</v>
      </c>
      <c r="V14" s="144">
        <f t="shared" si="11"/>
        <v>1056683.25</v>
      </c>
    </row>
    <row r="15" spans="1:22" s="14" customFormat="1">
      <c r="A15" s="185" t="s">
        <v>24</v>
      </c>
      <c r="B15" s="24" t="s">
        <v>17</v>
      </c>
      <c r="C15" s="203">
        <v>2.57</v>
      </c>
      <c r="D15" s="28">
        <f t="shared" ref="D15:D21" si="13">C15*$K$4</f>
        <v>12580.15</v>
      </c>
      <c r="E15" s="314">
        <v>2.8</v>
      </c>
      <c r="F15" s="28">
        <f>E15*K4</f>
        <v>13706</v>
      </c>
      <c r="G15" s="28">
        <f>E15*K4</f>
        <v>13706</v>
      </c>
      <c r="H15" s="20">
        <f>SUM(D15:G15)</f>
        <v>39994.949999999997</v>
      </c>
      <c r="I15" s="28">
        <f>E15*K4</f>
        <v>13706</v>
      </c>
      <c r="J15" s="28">
        <f>E15*K4</f>
        <v>13706</v>
      </c>
      <c r="K15" s="28">
        <f>E15*K4</f>
        <v>13706</v>
      </c>
      <c r="L15" s="22">
        <f t="shared" si="12"/>
        <v>41118</v>
      </c>
      <c r="M15" s="314">
        <v>2.8</v>
      </c>
      <c r="N15" s="28">
        <f>E15*K4</f>
        <v>13706</v>
      </c>
      <c r="O15" s="28">
        <f>E15*K4</f>
        <v>13706</v>
      </c>
      <c r="P15" s="28">
        <f>E15*K4</f>
        <v>13706</v>
      </c>
      <c r="Q15" s="20">
        <f>SUM(N15:P15)</f>
        <v>41118</v>
      </c>
      <c r="R15" s="28">
        <f>E15*K4</f>
        <v>13706</v>
      </c>
      <c r="S15" s="30">
        <v>12792</v>
      </c>
      <c r="T15" s="28">
        <f>E15*K4</f>
        <v>13706</v>
      </c>
      <c r="U15" s="20">
        <f>SUM(R15:T15)</f>
        <v>40204</v>
      </c>
      <c r="V15" s="144">
        <f t="shared" si="11"/>
        <v>162434.95000000001</v>
      </c>
    </row>
    <row r="16" spans="1:22" s="14" customFormat="1">
      <c r="A16" s="185" t="s">
        <v>25</v>
      </c>
      <c r="B16" s="24" t="s">
        <v>88</v>
      </c>
      <c r="C16" s="203">
        <v>2.99</v>
      </c>
      <c r="D16" s="28">
        <f>C16*K4</f>
        <v>14636.050000000001</v>
      </c>
      <c r="E16" s="314">
        <v>3.99</v>
      </c>
      <c r="F16" s="28">
        <f>E16*K4</f>
        <v>19531.05</v>
      </c>
      <c r="G16" s="28">
        <f>E16*K4</f>
        <v>19531.05</v>
      </c>
      <c r="H16" s="20">
        <f>SUM(D16:G16)</f>
        <v>53702.14</v>
      </c>
      <c r="I16" s="28">
        <f>G16</f>
        <v>19531.05</v>
      </c>
      <c r="J16" s="28">
        <f>I16</f>
        <v>19531.05</v>
      </c>
      <c r="K16" s="28">
        <f>J16</f>
        <v>19531.05</v>
      </c>
      <c r="L16" s="22">
        <f t="shared" si="12"/>
        <v>58593.149999999994</v>
      </c>
      <c r="M16" s="314">
        <v>3.99</v>
      </c>
      <c r="N16" s="28">
        <f>K16</f>
        <v>19531.05</v>
      </c>
      <c r="O16" s="28">
        <f>N16</f>
        <v>19531.05</v>
      </c>
      <c r="P16" s="28">
        <f>O16</f>
        <v>19531.05</v>
      </c>
      <c r="Q16" s="20">
        <f>SUM(N16:P16)</f>
        <v>58593.149999999994</v>
      </c>
      <c r="R16" s="28">
        <f>P16</f>
        <v>19531.05</v>
      </c>
      <c r="S16" s="28">
        <f>R16</f>
        <v>19531.05</v>
      </c>
      <c r="T16" s="28">
        <f>S16</f>
        <v>19531.05</v>
      </c>
      <c r="U16" s="20">
        <f>SUM(R16:T16)</f>
        <v>58593.149999999994</v>
      </c>
      <c r="V16" s="144">
        <f t="shared" si="11"/>
        <v>229481.59</v>
      </c>
    </row>
    <row r="17" spans="1:23" s="14" customFormat="1" ht="15.75" thickBot="1">
      <c r="A17" s="186" t="s">
        <v>27</v>
      </c>
      <c r="B17" s="81" t="s">
        <v>30</v>
      </c>
      <c r="C17" s="204">
        <v>1.86</v>
      </c>
      <c r="D17" s="58">
        <f>C17*K4</f>
        <v>9104.7000000000007</v>
      </c>
      <c r="E17" s="315">
        <v>2.2000000000000002</v>
      </c>
      <c r="F17" s="58">
        <f>E17*K4</f>
        <v>10769</v>
      </c>
      <c r="G17" s="58">
        <f>E17*K4</f>
        <v>10769</v>
      </c>
      <c r="H17" s="66">
        <f t="shared" ref="H17:H26" si="14">SUM(D17:G17)</f>
        <v>30644.9</v>
      </c>
      <c r="I17" s="58">
        <f>E17*K4</f>
        <v>10769</v>
      </c>
      <c r="J17" s="58">
        <f>E17*K4</f>
        <v>10769</v>
      </c>
      <c r="K17" s="58">
        <f>E17*K4</f>
        <v>10769</v>
      </c>
      <c r="L17" s="84">
        <f t="shared" si="12"/>
        <v>32307</v>
      </c>
      <c r="M17" s="315">
        <v>2.2000000000000002</v>
      </c>
      <c r="N17" s="58">
        <f>E17*K4</f>
        <v>10769</v>
      </c>
      <c r="O17" s="58">
        <f>E17*K4</f>
        <v>10769</v>
      </c>
      <c r="P17" s="58">
        <f>E17*K4</f>
        <v>10769</v>
      </c>
      <c r="Q17" s="66">
        <f t="shared" ref="Q17:Q26" si="15">SUM(N17:P17)</f>
        <v>32307</v>
      </c>
      <c r="R17" s="58">
        <f>E17*K4</f>
        <v>10769</v>
      </c>
      <c r="S17" s="58">
        <f>E17*K4</f>
        <v>10769</v>
      </c>
      <c r="T17" s="58">
        <f>E17*K4</f>
        <v>10769</v>
      </c>
      <c r="U17" s="66">
        <f t="shared" ref="U17:U25" si="16">SUM(R17:T17)</f>
        <v>32307</v>
      </c>
      <c r="V17" s="147">
        <f t="shared" si="11"/>
        <v>127565.9</v>
      </c>
    </row>
    <row r="18" spans="1:23" s="14" customFormat="1" ht="15.75" thickBot="1">
      <c r="A18" s="123" t="s">
        <v>28</v>
      </c>
      <c r="B18" s="82" t="s">
        <v>40</v>
      </c>
      <c r="C18" s="208"/>
      <c r="D18" s="40">
        <v>11307</v>
      </c>
      <c r="E18" s="316"/>
      <c r="F18" s="40">
        <v>0</v>
      </c>
      <c r="G18" s="40">
        <v>1013</v>
      </c>
      <c r="H18" s="67">
        <f t="shared" si="14"/>
        <v>12320</v>
      </c>
      <c r="I18" s="40">
        <v>11366</v>
      </c>
      <c r="J18" s="40">
        <v>4581</v>
      </c>
      <c r="K18" s="213">
        <v>0</v>
      </c>
      <c r="L18" s="69">
        <f t="shared" si="12"/>
        <v>15947</v>
      </c>
      <c r="M18" s="316"/>
      <c r="N18" s="40">
        <v>526</v>
      </c>
      <c r="O18" s="40">
        <v>41588</v>
      </c>
      <c r="P18" s="40">
        <v>282563</v>
      </c>
      <c r="Q18" s="67">
        <f t="shared" si="15"/>
        <v>324677</v>
      </c>
      <c r="R18" s="40">
        <v>19527</v>
      </c>
      <c r="S18" s="40">
        <v>2226</v>
      </c>
      <c r="T18" s="40">
        <v>12530</v>
      </c>
      <c r="U18" s="67">
        <f t="shared" si="16"/>
        <v>34283</v>
      </c>
      <c r="V18" s="73">
        <f t="shared" si="11"/>
        <v>387227</v>
      </c>
    </row>
    <row r="19" spans="1:23" s="14" customFormat="1">
      <c r="A19" s="187" t="s">
        <v>33</v>
      </c>
      <c r="B19" s="83" t="s">
        <v>39</v>
      </c>
      <c r="C19" s="205">
        <v>0.82</v>
      </c>
      <c r="D19" s="76">
        <f>C19*K4</f>
        <v>4013.8999999999996</v>
      </c>
      <c r="E19" s="317">
        <v>1</v>
      </c>
      <c r="F19" s="76">
        <f>E19*K4</f>
        <v>4895</v>
      </c>
      <c r="G19" s="76">
        <f>F19</f>
        <v>4895</v>
      </c>
      <c r="H19" s="98">
        <f t="shared" si="14"/>
        <v>13804.9</v>
      </c>
      <c r="I19" s="76">
        <f>G19</f>
        <v>4895</v>
      </c>
      <c r="J19" s="76">
        <f>I19</f>
        <v>4895</v>
      </c>
      <c r="K19" s="76">
        <f>J19</f>
        <v>4895</v>
      </c>
      <c r="L19" s="85">
        <f t="shared" si="12"/>
        <v>14685</v>
      </c>
      <c r="M19" s="317">
        <v>1</v>
      </c>
      <c r="N19" s="76">
        <f>K19</f>
        <v>4895</v>
      </c>
      <c r="O19" s="76">
        <f t="shared" ref="O19:P21" si="17">N19</f>
        <v>4895</v>
      </c>
      <c r="P19" s="76">
        <f t="shared" si="17"/>
        <v>4895</v>
      </c>
      <c r="Q19" s="98">
        <f t="shared" si="15"/>
        <v>14685</v>
      </c>
      <c r="R19" s="76">
        <f>P19</f>
        <v>4895</v>
      </c>
      <c r="S19" s="76">
        <f t="shared" ref="S19:T21" si="18">R19</f>
        <v>4895</v>
      </c>
      <c r="T19" s="76">
        <f t="shared" si="18"/>
        <v>4895</v>
      </c>
      <c r="U19" s="98">
        <f t="shared" si="16"/>
        <v>14685</v>
      </c>
      <c r="V19" s="149">
        <f t="shared" si="11"/>
        <v>57859.9</v>
      </c>
    </row>
    <row r="20" spans="1:23" s="14" customFormat="1">
      <c r="A20" s="185" t="s">
        <v>34</v>
      </c>
      <c r="B20" s="24" t="s">
        <v>41</v>
      </c>
      <c r="C20" s="203">
        <v>0.12</v>
      </c>
      <c r="D20" s="28">
        <f t="shared" si="13"/>
        <v>587.4</v>
      </c>
      <c r="E20" s="314">
        <v>0.2</v>
      </c>
      <c r="F20" s="28">
        <f>E20*K4</f>
        <v>979</v>
      </c>
      <c r="G20" s="28">
        <f>E20*K4</f>
        <v>979</v>
      </c>
      <c r="H20" s="20">
        <f t="shared" si="14"/>
        <v>2545.6</v>
      </c>
      <c r="I20" s="28">
        <f>G20</f>
        <v>979</v>
      </c>
      <c r="J20" s="28">
        <f>I20</f>
        <v>979</v>
      </c>
      <c r="K20" s="28">
        <f>J20</f>
        <v>979</v>
      </c>
      <c r="L20" s="22">
        <f t="shared" si="12"/>
        <v>2937</v>
      </c>
      <c r="M20" s="314">
        <v>0.2</v>
      </c>
      <c r="N20" s="28">
        <f>K20</f>
        <v>979</v>
      </c>
      <c r="O20" s="28">
        <f t="shared" si="17"/>
        <v>979</v>
      </c>
      <c r="P20" s="28">
        <f t="shared" si="17"/>
        <v>979</v>
      </c>
      <c r="Q20" s="20">
        <f t="shared" si="15"/>
        <v>2937</v>
      </c>
      <c r="R20" s="28">
        <f>P20</f>
        <v>979</v>
      </c>
      <c r="S20" s="28">
        <f t="shared" si="18"/>
        <v>979</v>
      </c>
      <c r="T20" s="28">
        <f t="shared" si="18"/>
        <v>979</v>
      </c>
      <c r="U20" s="20">
        <f t="shared" si="16"/>
        <v>2937</v>
      </c>
      <c r="V20" s="144">
        <f t="shared" si="11"/>
        <v>11356.6</v>
      </c>
    </row>
    <row r="21" spans="1:23" s="14" customFormat="1">
      <c r="A21" s="185" t="s">
        <v>35</v>
      </c>
      <c r="B21" s="24" t="s">
        <v>89</v>
      </c>
      <c r="C21" s="203"/>
      <c r="D21" s="28">
        <f t="shared" si="13"/>
        <v>0</v>
      </c>
      <c r="E21" s="314"/>
      <c r="F21" s="28">
        <f t="shared" ref="F21" si="19">C21*$K$4</f>
        <v>0</v>
      </c>
      <c r="G21" s="28">
        <f t="shared" ref="G21" si="20">C21*$K$4</f>
        <v>0</v>
      </c>
      <c r="H21" s="20">
        <f t="shared" si="14"/>
        <v>0</v>
      </c>
      <c r="I21" s="28">
        <f t="shared" ref="I21" si="21">C21*$K$4</f>
        <v>0</v>
      </c>
      <c r="J21" s="28">
        <f t="shared" ref="J21" si="22">C21*$K$4</f>
        <v>0</v>
      </c>
      <c r="K21" s="28">
        <v>0</v>
      </c>
      <c r="L21" s="22">
        <f t="shared" si="12"/>
        <v>0</v>
      </c>
      <c r="M21" s="314"/>
      <c r="N21" s="28">
        <v>0</v>
      </c>
      <c r="O21" s="28">
        <f t="shared" si="17"/>
        <v>0</v>
      </c>
      <c r="P21" s="28">
        <f t="shared" si="17"/>
        <v>0</v>
      </c>
      <c r="Q21" s="20">
        <f t="shared" si="15"/>
        <v>0</v>
      </c>
      <c r="R21" s="28">
        <f>P21</f>
        <v>0</v>
      </c>
      <c r="S21" s="28">
        <f t="shared" si="18"/>
        <v>0</v>
      </c>
      <c r="T21" s="28">
        <f t="shared" si="18"/>
        <v>0</v>
      </c>
      <c r="U21" s="20">
        <f t="shared" si="16"/>
        <v>0</v>
      </c>
      <c r="V21" s="144">
        <f t="shared" si="11"/>
        <v>0</v>
      </c>
    </row>
    <row r="22" spans="1:23" s="14" customFormat="1">
      <c r="A22" s="185" t="s">
        <v>124</v>
      </c>
      <c r="B22" s="24" t="s">
        <v>123</v>
      </c>
      <c r="C22" s="203"/>
      <c r="D22" s="28"/>
      <c r="E22" s="314">
        <v>1.5</v>
      </c>
      <c r="F22" s="28">
        <f>E22*K4</f>
        <v>7342.5</v>
      </c>
      <c r="G22" s="28">
        <f>F22</f>
        <v>7342.5</v>
      </c>
      <c r="H22" s="20">
        <f>G22+F22+D22</f>
        <v>14685</v>
      </c>
      <c r="I22" s="28">
        <f>G22</f>
        <v>7342.5</v>
      </c>
      <c r="J22" s="28">
        <f>I22</f>
        <v>7342.5</v>
      </c>
      <c r="K22" s="28">
        <f>J22</f>
        <v>7342.5</v>
      </c>
      <c r="L22" s="22">
        <f>K22+J22+I22</f>
        <v>22027.5</v>
      </c>
      <c r="M22" s="314">
        <v>1.5</v>
      </c>
      <c r="N22" s="28">
        <f>K22</f>
        <v>7342.5</v>
      </c>
      <c r="O22" s="28">
        <f>N22</f>
        <v>7342.5</v>
      </c>
      <c r="P22" s="28">
        <f>O22</f>
        <v>7342.5</v>
      </c>
      <c r="Q22" s="20">
        <f>P22+O22+N22</f>
        <v>22027.5</v>
      </c>
      <c r="R22" s="28">
        <f>P22</f>
        <v>7342.5</v>
      </c>
      <c r="S22" s="28">
        <f>R22</f>
        <v>7342.5</v>
      </c>
      <c r="T22" s="28">
        <f>S22</f>
        <v>7342.5</v>
      </c>
      <c r="U22" s="20">
        <f>T22+S22+R22</f>
        <v>22027.5</v>
      </c>
      <c r="V22" s="144">
        <f t="shared" si="11"/>
        <v>80767.5</v>
      </c>
    </row>
    <row r="23" spans="1:23" s="14" customFormat="1">
      <c r="A23" s="185" t="s">
        <v>125</v>
      </c>
      <c r="B23" s="24" t="s">
        <v>90</v>
      </c>
      <c r="C23" s="203"/>
      <c r="D23" s="28">
        <f>SUM(D25:D26)</f>
        <v>0</v>
      </c>
      <c r="E23" s="314"/>
      <c r="F23" s="28">
        <f>SUM(F25:F26)</f>
        <v>0</v>
      </c>
      <c r="G23" s="28">
        <f>SUM(G25:G26)</f>
        <v>0</v>
      </c>
      <c r="H23" s="20">
        <f t="shared" si="14"/>
        <v>0</v>
      </c>
      <c r="I23" s="28">
        <f>SUM(I25:I26)</f>
        <v>0</v>
      </c>
      <c r="J23" s="28">
        <f>SUM(J25:J26)</f>
        <v>0</v>
      </c>
      <c r="K23" s="28">
        <f>SUM(K25:K26)</f>
        <v>0</v>
      </c>
      <c r="L23" s="22">
        <f t="shared" si="12"/>
        <v>0</v>
      </c>
      <c r="M23" s="314"/>
      <c r="N23" s="28">
        <f>SUM(N25:N26)</f>
        <v>0</v>
      </c>
      <c r="O23" s="28">
        <f>SUM(O25:O26)</f>
        <v>0</v>
      </c>
      <c r="P23" s="28">
        <f>SUM(P25:P26)</f>
        <v>0</v>
      </c>
      <c r="Q23" s="20">
        <f t="shared" si="15"/>
        <v>0</v>
      </c>
      <c r="R23" s="28">
        <f>SUM(R25:R26)</f>
        <v>0</v>
      </c>
      <c r="S23" s="28">
        <f>SUM(S25:S26)</f>
        <v>0</v>
      </c>
      <c r="T23" s="30">
        <f>SUM(T25:T26)</f>
        <v>0</v>
      </c>
      <c r="U23" s="20">
        <f t="shared" si="16"/>
        <v>0</v>
      </c>
      <c r="V23" s="144">
        <f t="shared" si="11"/>
        <v>0</v>
      </c>
    </row>
    <row r="24" spans="1:23" s="14" customFormat="1">
      <c r="A24" s="185"/>
      <c r="B24" s="24" t="s">
        <v>44</v>
      </c>
      <c r="C24" s="207"/>
      <c r="D24" s="28"/>
      <c r="E24" s="313"/>
      <c r="F24" s="28"/>
      <c r="G24" s="28"/>
      <c r="H24" s="20">
        <f t="shared" si="14"/>
        <v>0</v>
      </c>
      <c r="I24" s="28"/>
      <c r="J24" s="28"/>
      <c r="K24" s="28"/>
      <c r="L24" s="22">
        <f t="shared" si="12"/>
        <v>0</v>
      </c>
      <c r="M24" s="313"/>
      <c r="N24" s="28"/>
      <c r="O24" s="28"/>
      <c r="P24" s="28"/>
      <c r="Q24" s="20">
        <f t="shared" si="15"/>
        <v>0</v>
      </c>
      <c r="R24" s="28"/>
      <c r="S24" s="28"/>
      <c r="T24" s="28"/>
      <c r="U24" s="20">
        <f t="shared" si="16"/>
        <v>0</v>
      </c>
      <c r="V24" s="144">
        <f t="shared" si="11"/>
        <v>0</v>
      </c>
    </row>
    <row r="25" spans="1:23" s="14" customFormat="1">
      <c r="A25" s="185"/>
      <c r="B25" s="24" t="s">
        <v>53</v>
      </c>
      <c r="C25" s="207"/>
      <c r="D25" s="28"/>
      <c r="E25" s="313"/>
      <c r="F25" s="28"/>
      <c r="G25" s="28"/>
      <c r="H25" s="20">
        <f t="shared" si="14"/>
        <v>0</v>
      </c>
      <c r="I25" s="28"/>
      <c r="J25" s="28"/>
      <c r="K25" s="28"/>
      <c r="L25" s="22">
        <f t="shared" si="12"/>
        <v>0</v>
      </c>
      <c r="M25" s="313"/>
      <c r="N25" s="28"/>
      <c r="O25" s="30"/>
      <c r="P25" s="30"/>
      <c r="Q25" s="20">
        <f t="shared" si="15"/>
        <v>0</v>
      </c>
      <c r="R25" s="28"/>
      <c r="S25" s="28"/>
      <c r="T25" s="28"/>
      <c r="U25" s="20">
        <f t="shared" si="16"/>
        <v>0</v>
      </c>
      <c r="V25" s="144">
        <f t="shared" si="11"/>
        <v>0</v>
      </c>
    </row>
    <row r="26" spans="1:23" s="14" customFormat="1">
      <c r="A26" s="185"/>
      <c r="B26" s="24" t="s">
        <v>91</v>
      </c>
      <c r="C26" s="207"/>
      <c r="D26" s="28"/>
      <c r="E26" s="313"/>
      <c r="F26" s="28"/>
      <c r="G26" s="28"/>
      <c r="H26" s="20">
        <f t="shared" si="14"/>
        <v>0</v>
      </c>
      <c r="I26" s="28"/>
      <c r="J26" s="28"/>
      <c r="K26" s="28"/>
      <c r="L26" s="22">
        <f t="shared" si="12"/>
        <v>0</v>
      </c>
      <c r="M26" s="313"/>
      <c r="N26" s="28"/>
      <c r="O26" s="28"/>
      <c r="P26" s="28"/>
      <c r="Q26" s="20">
        <f t="shared" si="15"/>
        <v>0</v>
      </c>
      <c r="R26" s="28"/>
      <c r="S26" s="28"/>
      <c r="T26" s="28"/>
      <c r="U26" s="20"/>
      <c r="V26" s="144">
        <f t="shared" si="11"/>
        <v>0</v>
      </c>
    </row>
    <row r="27" spans="1:23" s="14" customFormat="1" ht="15.75" thickBot="1">
      <c r="A27" s="188"/>
      <c r="B27" s="189" t="s">
        <v>43</v>
      </c>
      <c r="C27" s="210"/>
      <c r="D27" s="190"/>
      <c r="E27" s="311"/>
      <c r="F27" s="156"/>
      <c r="G27" s="156"/>
      <c r="H27" s="155">
        <f>H11-H14</f>
        <v>21396.619999999995</v>
      </c>
      <c r="I27" s="156"/>
      <c r="J27" s="156"/>
      <c r="K27" s="156"/>
      <c r="L27" s="155">
        <f>L11-L14</f>
        <v>86530.219999999972</v>
      </c>
      <c r="M27" s="311"/>
      <c r="N27" s="157"/>
      <c r="O27" s="157"/>
      <c r="P27" s="156"/>
      <c r="Q27" s="155">
        <f>Q11-Q14</f>
        <v>-262041.78000000003</v>
      </c>
      <c r="R27" s="156"/>
      <c r="S27" s="156"/>
      <c r="T27" s="156"/>
      <c r="U27" s="155">
        <f>U11-U14</f>
        <v>72265.62</v>
      </c>
      <c r="V27" s="158">
        <f t="shared" si="11"/>
        <v>-81849.320000000065</v>
      </c>
      <c r="W27" s="133"/>
    </row>
    <row r="28" spans="1:23" s="14" customFormat="1">
      <c r="D28" s="57"/>
      <c r="E28" s="57"/>
    </row>
    <row r="29" spans="1:23" s="14" customFormat="1">
      <c r="H29" s="57"/>
      <c r="L29" s="57"/>
      <c r="M29" s="57"/>
      <c r="Q29" s="57"/>
    </row>
    <row r="30" spans="1:23" s="11" customFormat="1"/>
    <row r="31" spans="1:23" s="11" customFormat="1"/>
  </sheetData>
  <mergeCells count="4">
    <mergeCell ref="A1:L1"/>
    <mergeCell ref="A2:L2"/>
    <mergeCell ref="A3:L3"/>
    <mergeCell ref="R3:V3"/>
  </mergeCells>
  <pageMargins left="0" right="0" top="0.74803149606299213" bottom="0.74803149606299213" header="0.31496062992125984" footer="0.31496062992125984"/>
  <pageSetup paperSize="9" scale="58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28"/>
  <sheetViews>
    <sheetView zoomScaleNormal="100" workbookViewId="0">
      <selection activeCell="J34" sqref="J34"/>
    </sheetView>
  </sheetViews>
  <sheetFormatPr defaultRowHeight="15"/>
  <cols>
    <col min="1" max="1" width="5.7109375" customWidth="1"/>
    <col min="2" max="2" width="29.5703125" customWidth="1"/>
    <col min="3" max="11" width="9.28515625" bestFit="1" customWidth="1"/>
    <col min="12" max="12" width="9.42578125" bestFit="1" customWidth="1"/>
    <col min="13" max="20" width="9.28515625" bestFit="1" customWidth="1"/>
    <col min="21" max="21" width="9.85546875" bestFit="1" customWidth="1"/>
    <col min="22" max="22" width="9.28515625" bestFit="1" customWidth="1"/>
  </cols>
  <sheetData>
    <row r="1" spans="1:22" s="51" customFormat="1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R1" s="13" t="s">
        <v>94</v>
      </c>
      <c r="S1" s="13"/>
      <c r="T1" s="13"/>
      <c r="U1" s="13"/>
      <c r="V1" s="13"/>
    </row>
    <row r="2" spans="1:22" s="51" customFormat="1">
      <c r="A2" s="377" t="s">
        <v>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R2" s="13" t="s">
        <v>95</v>
      </c>
      <c r="S2" s="13"/>
      <c r="T2" s="13"/>
      <c r="U2" s="13"/>
      <c r="V2" s="13"/>
    </row>
    <row r="3" spans="1:22" s="51" customFormat="1">
      <c r="A3" s="378" t="s">
        <v>128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R3" s="373" t="s">
        <v>138</v>
      </c>
      <c r="S3" s="373"/>
      <c r="T3" s="373"/>
      <c r="U3" s="373"/>
      <c r="V3" s="373"/>
    </row>
    <row r="4" spans="1:22" s="51" customFormat="1" ht="15.75" thickBot="1">
      <c r="B4" s="51" t="s">
        <v>129</v>
      </c>
      <c r="K4" s="51">
        <f>5462.8+269.2</f>
        <v>5732</v>
      </c>
    </row>
    <row r="5" spans="1:22" s="264" customFormat="1">
      <c r="A5" s="184"/>
      <c r="B5" s="138" t="s">
        <v>2</v>
      </c>
      <c r="C5" s="263" t="s">
        <v>93</v>
      </c>
      <c r="D5" s="138" t="s">
        <v>4</v>
      </c>
      <c r="E5" s="138" t="s">
        <v>5</v>
      </c>
      <c r="F5" s="271" t="s">
        <v>93</v>
      </c>
      <c r="G5" s="138" t="s">
        <v>6</v>
      </c>
      <c r="H5" s="137" t="s">
        <v>7</v>
      </c>
      <c r="I5" s="138" t="s">
        <v>8</v>
      </c>
      <c r="J5" s="138" t="s">
        <v>9</v>
      </c>
      <c r="K5" s="138" t="s">
        <v>10</v>
      </c>
      <c r="L5" s="139" t="s">
        <v>11</v>
      </c>
      <c r="M5" s="138" t="s">
        <v>54</v>
      </c>
      <c r="N5" s="138" t="s">
        <v>55</v>
      </c>
      <c r="O5" s="138" t="s">
        <v>56</v>
      </c>
      <c r="P5" s="139" t="s">
        <v>57</v>
      </c>
      <c r="Q5" s="138" t="s">
        <v>63</v>
      </c>
      <c r="R5" s="138" t="s">
        <v>64</v>
      </c>
      <c r="S5" s="138" t="s">
        <v>65</v>
      </c>
      <c r="T5" s="139" t="s">
        <v>66</v>
      </c>
      <c r="U5" s="140" t="s">
        <v>71</v>
      </c>
    </row>
    <row r="6" spans="1:22" s="264" customFormat="1" ht="28.5" customHeight="1">
      <c r="A6" s="198" t="s">
        <v>12</v>
      </c>
      <c r="B6" s="19" t="s">
        <v>13</v>
      </c>
      <c r="C6" s="260"/>
      <c r="D6" s="20">
        <f>D7+D8+D9+D10</f>
        <v>85464.12000000001</v>
      </c>
      <c r="E6" s="20">
        <f>SUM(E7:E10)</f>
        <v>77468.36</v>
      </c>
      <c r="F6" s="221"/>
      <c r="G6" s="20">
        <f>G7+G8+G9+G10</f>
        <v>92285.199999999983</v>
      </c>
      <c r="H6" s="20">
        <f t="shared" ref="H6:T6" si="0">SUM(H7:H10)</f>
        <v>255233.78000000003</v>
      </c>
      <c r="I6" s="20">
        <f t="shared" si="0"/>
        <v>92285.199999999983</v>
      </c>
      <c r="J6" s="20">
        <f t="shared" si="0"/>
        <v>92285.199999999983</v>
      </c>
      <c r="K6" s="20">
        <f t="shared" si="0"/>
        <v>92285.199999999983</v>
      </c>
      <c r="L6" s="20">
        <f t="shared" si="0"/>
        <v>276855.59999999998</v>
      </c>
      <c r="M6" s="20">
        <f t="shared" si="0"/>
        <v>92285.199999999983</v>
      </c>
      <c r="N6" s="20">
        <f t="shared" si="0"/>
        <v>92285.199999999983</v>
      </c>
      <c r="O6" s="20">
        <f t="shared" si="0"/>
        <v>92285.199999999983</v>
      </c>
      <c r="P6" s="20">
        <f t="shared" si="0"/>
        <v>276855.59999999998</v>
      </c>
      <c r="Q6" s="20">
        <f t="shared" si="0"/>
        <v>92285.199999999983</v>
      </c>
      <c r="R6" s="20">
        <f t="shared" si="0"/>
        <v>92285.199999999983</v>
      </c>
      <c r="S6" s="20">
        <f t="shared" si="0"/>
        <v>92285.199999999983</v>
      </c>
      <c r="T6" s="20">
        <f t="shared" si="0"/>
        <v>276855.59999999998</v>
      </c>
      <c r="U6" s="142">
        <f t="shared" ref="U6:U12" si="1">H6+L6+P6+T6</f>
        <v>1085800.58</v>
      </c>
    </row>
    <row r="7" spans="1:22" s="264" customFormat="1">
      <c r="A7" s="251" t="s">
        <v>14</v>
      </c>
      <c r="B7" s="24" t="s">
        <v>15</v>
      </c>
      <c r="C7" s="225">
        <v>10.48</v>
      </c>
      <c r="D7" s="28">
        <f>C7*K4</f>
        <v>60071.360000000001</v>
      </c>
      <c r="E7" s="28">
        <f>D7</f>
        <v>60071.360000000001</v>
      </c>
      <c r="F7" s="217">
        <v>11.1</v>
      </c>
      <c r="G7" s="28">
        <f>F7*K4</f>
        <v>63625.2</v>
      </c>
      <c r="H7" s="20">
        <f>SUM(D7:G7)</f>
        <v>183779.02000000002</v>
      </c>
      <c r="I7" s="28">
        <f>G7</f>
        <v>63625.2</v>
      </c>
      <c r="J7" s="28">
        <f>I7</f>
        <v>63625.2</v>
      </c>
      <c r="K7" s="28">
        <f>J7</f>
        <v>63625.2</v>
      </c>
      <c r="L7" s="22">
        <f>I7+J7+K7</f>
        <v>190875.59999999998</v>
      </c>
      <c r="M7" s="28">
        <f>K7</f>
        <v>63625.2</v>
      </c>
      <c r="N7" s="28">
        <f>M7</f>
        <v>63625.2</v>
      </c>
      <c r="O7" s="28">
        <f>N7</f>
        <v>63625.2</v>
      </c>
      <c r="P7" s="22">
        <f>SUM(M7:O7)</f>
        <v>190875.59999999998</v>
      </c>
      <c r="Q7" s="28">
        <f>O7</f>
        <v>63625.2</v>
      </c>
      <c r="R7" s="28">
        <f>Q7</f>
        <v>63625.2</v>
      </c>
      <c r="S7" s="28">
        <f>R7</f>
        <v>63625.2</v>
      </c>
      <c r="T7" s="22">
        <f>SUM(Q7:S7)</f>
        <v>190875.59999999998</v>
      </c>
      <c r="U7" s="144">
        <f t="shared" si="1"/>
        <v>756405.82</v>
      </c>
    </row>
    <row r="8" spans="1:22" s="264" customFormat="1">
      <c r="A8" s="251" t="s">
        <v>16</v>
      </c>
      <c r="B8" s="24" t="s">
        <v>17</v>
      </c>
      <c r="C8" s="225">
        <v>2.57</v>
      </c>
      <c r="D8" s="28">
        <f t="shared" ref="D8:D10" si="2">C8*$K$4</f>
        <v>14731.24</v>
      </c>
      <c r="E8" s="28">
        <v>14731</v>
      </c>
      <c r="F8" s="217">
        <v>2.8</v>
      </c>
      <c r="G8" s="28">
        <f>F8*K4</f>
        <v>16049.599999999999</v>
      </c>
      <c r="H8" s="20">
        <f t="shared" ref="H8:H10" si="3">SUM(D8:G8)</f>
        <v>45514.64</v>
      </c>
      <c r="I8" s="28">
        <f>F8*K4</f>
        <v>16049.599999999999</v>
      </c>
      <c r="J8" s="28">
        <f>F8*K4</f>
        <v>16049.599999999999</v>
      </c>
      <c r="K8" s="28">
        <f>F8*K4</f>
        <v>16049.599999999999</v>
      </c>
      <c r="L8" s="22">
        <f>I8+J8+K8</f>
        <v>48148.799999999996</v>
      </c>
      <c r="M8" s="28">
        <f>F8*K4</f>
        <v>16049.599999999999</v>
      </c>
      <c r="N8" s="28">
        <f>F8*K4</f>
        <v>16049.599999999999</v>
      </c>
      <c r="O8" s="28">
        <f>F8*K4</f>
        <v>16049.599999999999</v>
      </c>
      <c r="P8" s="22">
        <f t="shared" ref="P8:P10" si="4">SUM(M8:O8)</f>
        <v>48148.799999999996</v>
      </c>
      <c r="Q8" s="28">
        <f>O8</f>
        <v>16049.599999999999</v>
      </c>
      <c r="R8" s="28">
        <f>F8*K4</f>
        <v>16049.599999999999</v>
      </c>
      <c r="S8" s="28">
        <f>F8*K4</f>
        <v>16049.599999999999</v>
      </c>
      <c r="T8" s="22">
        <f t="shared" ref="T8:T10" si="5">SUM(Q8:S8)</f>
        <v>48148.799999999996</v>
      </c>
      <c r="U8" s="144">
        <f t="shared" si="1"/>
        <v>189961.03999999998</v>
      </c>
    </row>
    <row r="9" spans="1:22" s="264" customFormat="1">
      <c r="A9" s="251" t="s">
        <v>18</v>
      </c>
      <c r="B9" s="24" t="s">
        <v>30</v>
      </c>
      <c r="C9" s="225">
        <v>1.86</v>
      </c>
      <c r="D9" s="28">
        <f t="shared" si="2"/>
        <v>10661.52</v>
      </c>
      <c r="E9" s="30">
        <v>2666</v>
      </c>
      <c r="F9" s="217">
        <v>2.2000000000000002</v>
      </c>
      <c r="G9" s="28">
        <f>F9*K4</f>
        <v>12610.400000000001</v>
      </c>
      <c r="H9" s="20">
        <f t="shared" si="3"/>
        <v>25940.120000000003</v>
      </c>
      <c r="I9" s="28">
        <f>F9*K4</f>
        <v>12610.400000000001</v>
      </c>
      <c r="J9" s="28">
        <f>F9*K4</f>
        <v>12610.400000000001</v>
      </c>
      <c r="K9" s="28">
        <f>F9*K4</f>
        <v>12610.400000000001</v>
      </c>
      <c r="L9" s="22">
        <f>I9+J9+K9</f>
        <v>37831.200000000004</v>
      </c>
      <c r="M9" s="28">
        <f>F9*K4</f>
        <v>12610.400000000001</v>
      </c>
      <c r="N9" s="28">
        <f>F9*K4</f>
        <v>12610.400000000001</v>
      </c>
      <c r="O9" s="28">
        <f>F9*K4</f>
        <v>12610.400000000001</v>
      </c>
      <c r="P9" s="22">
        <f t="shared" si="4"/>
        <v>37831.200000000004</v>
      </c>
      <c r="Q9" s="28">
        <f>F9*K4</f>
        <v>12610.400000000001</v>
      </c>
      <c r="R9" s="28">
        <f>F9*K4</f>
        <v>12610.400000000001</v>
      </c>
      <c r="S9" s="28">
        <f>F9*K4</f>
        <v>12610.400000000001</v>
      </c>
      <c r="T9" s="22">
        <f t="shared" si="5"/>
        <v>37831.200000000004</v>
      </c>
      <c r="U9" s="144">
        <f t="shared" si="1"/>
        <v>139433.72000000003</v>
      </c>
    </row>
    <row r="10" spans="1:22" s="264" customFormat="1" ht="15.75" thickBot="1">
      <c r="A10" s="252" t="s">
        <v>31</v>
      </c>
      <c r="B10" s="81" t="s">
        <v>19</v>
      </c>
      <c r="C10" s="226"/>
      <c r="D10" s="58">
        <f t="shared" si="2"/>
        <v>0</v>
      </c>
      <c r="E10" s="58">
        <f t="shared" ref="E10" si="6">C10*$K$4</f>
        <v>0</v>
      </c>
      <c r="F10" s="272"/>
      <c r="G10" s="58">
        <f t="shared" ref="G10" si="7">C10*$K$4</f>
        <v>0</v>
      </c>
      <c r="H10" s="66">
        <f t="shared" si="3"/>
        <v>0</v>
      </c>
      <c r="I10" s="58">
        <f t="shared" ref="I10" si="8">C10*$K$4</f>
        <v>0</v>
      </c>
      <c r="J10" s="58">
        <f t="shared" ref="J10" si="9">C10*$K$4</f>
        <v>0</v>
      </c>
      <c r="K10" s="58">
        <f>C10*$K$4</f>
        <v>0</v>
      </c>
      <c r="L10" s="84">
        <f>SUM(I10:K10)</f>
        <v>0</v>
      </c>
      <c r="M10" s="58">
        <f>C10*$K$4</f>
        <v>0</v>
      </c>
      <c r="N10" s="58">
        <f>C10*$K$4</f>
        <v>0</v>
      </c>
      <c r="O10" s="58">
        <f>C10*$K$4</f>
        <v>0</v>
      </c>
      <c r="P10" s="84">
        <f t="shared" si="4"/>
        <v>0</v>
      </c>
      <c r="Q10" s="58">
        <f>C10*$K$4</f>
        <v>0</v>
      </c>
      <c r="R10" s="58">
        <f>C10*$K$4</f>
        <v>0</v>
      </c>
      <c r="S10" s="58">
        <f>C10*$K$4</f>
        <v>0</v>
      </c>
      <c r="T10" s="84">
        <f t="shared" si="5"/>
        <v>0</v>
      </c>
      <c r="U10" s="147">
        <f t="shared" si="1"/>
        <v>0</v>
      </c>
    </row>
    <row r="11" spans="1:22" s="264" customFormat="1" ht="15.75" thickBot="1">
      <c r="A11" s="253" t="s">
        <v>32</v>
      </c>
      <c r="B11" s="82" t="s">
        <v>20</v>
      </c>
      <c r="C11" s="241"/>
      <c r="D11" s="40">
        <v>74319.44</v>
      </c>
      <c r="E11" s="40">
        <v>73360.31</v>
      </c>
      <c r="F11" s="273"/>
      <c r="G11" s="40">
        <v>68628.149999999994</v>
      </c>
      <c r="H11" s="119">
        <f>D11+E11+G11+G12+G13</f>
        <v>227985.61</v>
      </c>
      <c r="I11" s="40">
        <f>66160.04+5376.52</f>
        <v>71536.56</v>
      </c>
      <c r="J11" s="40">
        <v>74297.55</v>
      </c>
      <c r="K11" s="40">
        <v>81651.5</v>
      </c>
      <c r="L11" s="68">
        <f>I11+J11+K11+K12+K13</f>
        <v>252770.62999999998</v>
      </c>
      <c r="M11" s="40">
        <v>83838.31</v>
      </c>
      <c r="N11" s="40">
        <v>84105.22</v>
      </c>
      <c r="O11" s="40">
        <v>85117.08</v>
      </c>
      <c r="P11" s="68">
        <f>M11+N11+O11+O12+O13</f>
        <v>266196.95999999996</v>
      </c>
      <c r="Q11" s="40">
        <v>86096.41</v>
      </c>
      <c r="R11" s="40">
        <v>82290.14</v>
      </c>
      <c r="S11" s="40">
        <v>93031.72</v>
      </c>
      <c r="T11" s="68">
        <f>SUM(Q11:S11)+S12+S13</f>
        <v>283470.38</v>
      </c>
      <c r="U11" s="125">
        <f t="shared" si="1"/>
        <v>1030423.58</v>
      </c>
    </row>
    <row r="12" spans="1:22" s="264" customFormat="1">
      <c r="A12" s="254"/>
      <c r="B12" s="83" t="s">
        <v>37</v>
      </c>
      <c r="C12" s="228"/>
      <c r="D12" s="76"/>
      <c r="E12" s="76"/>
      <c r="F12" s="274"/>
      <c r="G12" s="231">
        <f>2000+1100+561.22+2254.49+3368+2394</f>
        <v>11677.71</v>
      </c>
      <c r="H12" s="98"/>
      <c r="I12" s="76"/>
      <c r="J12" s="76"/>
      <c r="K12" s="231">
        <f>3420.4+3570+1126.24+2158+2711+358.74+1236.17+2004.47</f>
        <v>16585.02</v>
      </c>
      <c r="L12" s="85"/>
      <c r="M12" s="76"/>
      <c r="N12" s="76"/>
      <c r="O12" s="231">
        <f>3140+3570+4015.95+2410.4</f>
        <v>13136.35</v>
      </c>
      <c r="P12" s="85"/>
      <c r="Q12" s="76"/>
      <c r="R12" s="76"/>
      <c r="S12" s="231">
        <f>2226+3570+676.2+2786.91+2293</f>
        <v>11552.11</v>
      </c>
      <c r="T12" s="85"/>
      <c r="U12" s="149">
        <f t="shared" si="1"/>
        <v>0</v>
      </c>
    </row>
    <row r="13" spans="1:22" s="264" customFormat="1">
      <c r="A13" s="265"/>
      <c r="B13" s="24" t="s">
        <v>87</v>
      </c>
      <c r="C13" s="225"/>
      <c r="D13" s="28"/>
      <c r="E13" s="28"/>
      <c r="F13" s="275"/>
      <c r="G13" s="28"/>
      <c r="H13" s="20"/>
      <c r="I13" s="28"/>
      <c r="J13" s="28"/>
      <c r="K13" s="30">
        <v>8700</v>
      </c>
      <c r="L13" s="22"/>
      <c r="M13" s="28"/>
      <c r="N13" s="28"/>
      <c r="O13" s="28"/>
      <c r="P13" s="22"/>
      <c r="Q13" s="28"/>
      <c r="R13" s="28"/>
      <c r="S13" s="30">
        <f>8700+1800</f>
        <v>10500</v>
      </c>
      <c r="T13" s="22"/>
      <c r="U13" s="144"/>
    </row>
    <row r="14" spans="1:22" s="264" customFormat="1">
      <c r="A14" s="251"/>
      <c r="B14" s="24" t="s">
        <v>21</v>
      </c>
      <c r="C14" s="225"/>
      <c r="D14" s="28">
        <f>D11-D6</f>
        <v>-11144.680000000008</v>
      </c>
      <c r="E14" s="28">
        <f>E11-E6</f>
        <v>-4108.0500000000029</v>
      </c>
      <c r="F14" s="275"/>
      <c r="G14" s="28">
        <f t="shared" ref="G14:T14" si="10">G11-G6</f>
        <v>-23657.049999999988</v>
      </c>
      <c r="H14" s="22">
        <f t="shared" si="10"/>
        <v>-27248.170000000042</v>
      </c>
      <c r="I14" s="28">
        <f t="shared" si="10"/>
        <v>-20748.639999999985</v>
      </c>
      <c r="J14" s="28">
        <f t="shared" si="10"/>
        <v>-17987.64999999998</v>
      </c>
      <c r="K14" s="28">
        <f t="shared" si="10"/>
        <v>-10633.699999999983</v>
      </c>
      <c r="L14" s="22">
        <f t="shared" si="10"/>
        <v>-24084.97</v>
      </c>
      <c r="M14" s="28">
        <f t="shared" si="10"/>
        <v>-8446.8899999999849</v>
      </c>
      <c r="N14" s="28">
        <f t="shared" si="10"/>
        <v>-8179.9799999999814</v>
      </c>
      <c r="O14" s="28">
        <f t="shared" si="10"/>
        <v>-7168.1199999999808</v>
      </c>
      <c r="P14" s="22">
        <f t="shared" si="10"/>
        <v>-10658.640000000014</v>
      </c>
      <c r="Q14" s="28">
        <f t="shared" si="10"/>
        <v>-6188.789999999979</v>
      </c>
      <c r="R14" s="28">
        <f t="shared" si="10"/>
        <v>-9995.0599999999831</v>
      </c>
      <c r="S14" s="28">
        <f t="shared" si="10"/>
        <v>746.52000000001863</v>
      </c>
      <c r="T14" s="22">
        <f t="shared" si="10"/>
        <v>6614.7800000000279</v>
      </c>
      <c r="U14" s="144">
        <f t="shared" ref="U14:U28" si="11">H14+L14+P14+T14</f>
        <v>-55377.000000000029</v>
      </c>
    </row>
    <row r="15" spans="1:22" s="264" customFormat="1" ht="27.75" customHeight="1">
      <c r="A15" s="198" t="s">
        <v>22</v>
      </c>
      <c r="B15" s="19" t="s">
        <v>23</v>
      </c>
      <c r="C15" s="225"/>
      <c r="D15" s="22">
        <f>SUM(D16:D24)</f>
        <v>67942.52</v>
      </c>
      <c r="E15" s="22">
        <f>SUM(E16:E24)</f>
        <v>45553.759999999995</v>
      </c>
      <c r="F15" s="275"/>
      <c r="G15" s="22">
        <f>SUM(G16:G24)</f>
        <v>69453.08</v>
      </c>
      <c r="H15" s="20">
        <f>SUM(D15:G15)</f>
        <v>182949.36</v>
      </c>
      <c r="I15" s="22">
        <f>SUM(I16:I24)</f>
        <v>77150.079999999987</v>
      </c>
      <c r="J15" s="22">
        <f>SUM(J16:J24)</f>
        <v>169342.07999999999</v>
      </c>
      <c r="K15" s="22">
        <f>SUM(K16:K24)</f>
        <v>145092.07999999999</v>
      </c>
      <c r="L15" s="22">
        <f t="shared" ref="L15:L26" si="12">I15+J15+K15</f>
        <v>391584.24</v>
      </c>
      <c r="M15" s="22">
        <f>SUM(M16:M24)</f>
        <v>67783.08</v>
      </c>
      <c r="N15" s="22">
        <f>SUM(N16:N24)</f>
        <v>71663.08</v>
      </c>
      <c r="O15" s="22">
        <f>SUM(O16:O24)</f>
        <v>67969.08</v>
      </c>
      <c r="P15" s="20">
        <f>SUM(M15:O15)</f>
        <v>207415.24</v>
      </c>
      <c r="Q15" s="22">
        <f>SUM(Q16:Q24)</f>
        <v>116162.07999999999</v>
      </c>
      <c r="R15" s="22">
        <f>SUM(R16:R24)</f>
        <v>109398.07999999999</v>
      </c>
      <c r="S15" s="22">
        <f>SUM(S16:S24)</f>
        <v>67621.08</v>
      </c>
      <c r="T15" s="20">
        <f>SUM(Q15:S15)</f>
        <v>293181.24</v>
      </c>
      <c r="U15" s="142">
        <f t="shared" si="11"/>
        <v>1075130.08</v>
      </c>
    </row>
    <row r="16" spans="1:22" s="264" customFormat="1">
      <c r="A16" s="251" t="s">
        <v>24</v>
      </c>
      <c r="B16" s="24" t="s">
        <v>17</v>
      </c>
      <c r="C16" s="225">
        <v>2.57</v>
      </c>
      <c r="D16" s="28">
        <f t="shared" ref="D16:D23" si="13">C16*$K$4</f>
        <v>14731.24</v>
      </c>
      <c r="E16" s="28">
        <v>14731</v>
      </c>
      <c r="F16" s="217">
        <v>2.8</v>
      </c>
      <c r="G16" s="28">
        <f>F16*K4</f>
        <v>16049.599999999999</v>
      </c>
      <c r="H16" s="20">
        <f>SUM(D16:G16)</f>
        <v>45514.64</v>
      </c>
      <c r="I16" s="28">
        <f>F16*K4</f>
        <v>16049.599999999999</v>
      </c>
      <c r="J16" s="28">
        <f>F16*K4</f>
        <v>16049.599999999999</v>
      </c>
      <c r="K16" s="28">
        <f>F16*K4</f>
        <v>16049.599999999999</v>
      </c>
      <c r="L16" s="22">
        <f t="shared" si="12"/>
        <v>48148.799999999996</v>
      </c>
      <c r="M16" s="28">
        <f>F16*K4</f>
        <v>16049.599999999999</v>
      </c>
      <c r="N16" s="28">
        <f>F16*K4</f>
        <v>16049.599999999999</v>
      </c>
      <c r="O16" s="28">
        <f>F16*K4</f>
        <v>16049.599999999999</v>
      </c>
      <c r="P16" s="20">
        <f>SUM(M16:O16)</f>
        <v>48148.799999999996</v>
      </c>
      <c r="Q16" s="28">
        <f>O16</f>
        <v>16049.599999999999</v>
      </c>
      <c r="R16" s="28">
        <f>F16*K4</f>
        <v>16049.599999999999</v>
      </c>
      <c r="S16" s="28">
        <f>F16*K4</f>
        <v>16049.599999999999</v>
      </c>
      <c r="T16" s="22">
        <f>S16+R16+Q16</f>
        <v>48148.799999999996</v>
      </c>
      <c r="U16" s="144">
        <f t="shared" si="11"/>
        <v>189961.03999999998</v>
      </c>
    </row>
    <row r="17" spans="1:22" s="264" customFormat="1">
      <c r="A17" s="251" t="s">
        <v>25</v>
      </c>
      <c r="B17" s="24" t="s">
        <v>88</v>
      </c>
      <c r="C17" s="225">
        <v>2.99</v>
      </c>
      <c r="D17" s="28">
        <f t="shared" si="13"/>
        <v>17138.68</v>
      </c>
      <c r="E17" s="28">
        <f t="shared" ref="E17:E23" si="14">C17*$K$4</f>
        <v>17138.68</v>
      </c>
      <c r="F17" s="217">
        <v>3.99</v>
      </c>
      <c r="G17" s="28">
        <f>F17*K4</f>
        <v>22870.68</v>
      </c>
      <c r="H17" s="20">
        <f t="shared" ref="H17:H27" si="15">SUM(D17:G17)</f>
        <v>57152.03</v>
      </c>
      <c r="I17" s="28">
        <f>G17</f>
        <v>22870.68</v>
      </c>
      <c r="J17" s="28">
        <f>I17</f>
        <v>22870.68</v>
      </c>
      <c r="K17" s="28">
        <f>J17</f>
        <v>22870.68</v>
      </c>
      <c r="L17" s="22">
        <f t="shared" si="12"/>
        <v>68612.040000000008</v>
      </c>
      <c r="M17" s="28">
        <f>K17</f>
        <v>22870.68</v>
      </c>
      <c r="N17" s="28">
        <f>M17</f>
        <v>22870.68</v>
      </c>
      <c r="O17" s="28">
        <f>N17</f>
        <v>22870.68</v>
      </c>
      <c r="P17" s="20">
        <f>SUM(M17:O17)</f>
        <v>68612.040000000008</v>
      </c>
      <c r="Q17" s="28">
        <f>O17</f>
        <v>22870.68</v>
      </c>
      <c r="R17" s="28">
        <f>Q17</f>
        <v>22870.68</v>
      </c>
      <c r="S17" s="28">
        <f>R17</f>
        <v>22870.68</v>
      </c>
      <c r="T17" s="20">
        <f>SUM(Q17:S17)</f>
        <v>68612.040000000008</v>
      </c>
      <c r="U17" s="144">
        <f t="shared" si="11"/>
        <v>262988.15000000002</v>
      </c>
    </row>
    <row r="18" spans="1:22" s="264" customFormat="1" ht="15.75" thickBot="1">
      <c r="A18" s="252" t="s">
        <v>27</v>
      </c>
      <c r="B18" s="81" t="s">
        <v>30</v>
      </c>
      <c r="C18" s="226">
        <v>1.86</v>
      </c>
      <c r="D18" s="58">
        <f t="shared" si="13"/>
        <v>10661.52</v>
      </c>
      <c r="E18" s="94">
        <v>2666</v>
      </c>
      <c r="F18" s="218">
        <v>2.2000000000000002</v>
      </c>
      <c r="G18" s="58">
        <f>F18*K4</f>
        <v>12610.400000000001</v>
      </c>
      <c r="H18" s="66">
        <f t="shared" si="15"/>
        <v>25940.120000000003</v>
      </c>
      <c r="I18" s="58">
        <f>F18*K4</f>
        <v>12610.400000000001</v>
      </c>
      <c r="J18" s="58">
        <f>F18*K4</f>
        <v>12610.400000000001</v>
      </c>
      <c r="K18" s="58">
        <f>F18*K4</f>
        <v>12610.400000000001</v>
      </c>
      <c r="L18" s="84">
        <f t="shared" si="12"/>
        <v>37831.200000000004</v>
      </c>
      <c r="M18" s="58">
        <f>F18*K4</f>
        <v>12610.400000000001</v>
      </c>
      <c r="N18" s="58">
        <f>F18*K4</f>
        <v>12610.400000000001</v>
      </c>
      <c r="O18" s="58">
        <f>F18*K4</f>
        <v>12610.400000000001</v>
      </c>
      <c r="P18" s="66">
        <f t="shared" ref="P18:P27" si="16">SUM(M18:O18)</f>
        <v>37831.200000000004</v>
      </c>
      <c r="Q18" s="58">
        <f>F18*K4</f>
        <v>12610.400000000001</v>
      </c>
      <c r="R18" s="58">
        <f>F18*K4</f>
        <v>12610.400000000001</v>
      </c>
      <c r="S18" s="58">
        <f>F18*K4</f>
        <v>12610.400000000001</v>
      </c>
      <c r="T18" s="66">
        <f t="shared" ref="T18:T27" si="17">SUM(Q18:S18)</f>
        <v>37831.200000000004</v>
      </c>
      <c r="U18" s="147">
        <f t="shared" si="11"/>
        <v>139433.72000000003</v>
      </c>
    </row>
    <row r="19" spans="1:22" s="264" customFormat="1" ht="15.75" thickBot="1">
      <c r="A19" s="256" t="s">
        <v>28</v>
      </c>
      <c r="B19" s="82" t="s">
        <v>40</v>
      </c>
      <c r="C19" s="241"/>
      <c r="D19" s="40">
        <v>20023</v>
      </c>
      <c r="E19" s="40">
        <v>5630</v>
      </c>
      <c r="F19" s="273"/>
      <c r="G19" s="40">
        <v>2446</v>
      </c>
      <c r="H19" s="67">
        <f t="shared" si="15"/>
        <v>28099</v>
      </c>
      <c r="I19" s="40">
        <v>10143</v>
      </c>
      <c r="J19" s="40">
        <v>102335</v>
      </c>
      <c r="K19" s="40">
        <v>78085</v>
      </c>
      <c r="L19" s="69">
        <f t="shared" si="12"/>
        <v>190563</v>
      </c>
      <c r="M19" s="115">
        <v>776</v>
      </c>
      <c r="N19" s="40">
        <v>4656</v>
      </c>
      <c r="O19" s="40">
        <v>962</v>
      </c>
      <c r="P19" s="67">
        <f t="shared" si="16"/>
        <v>6394</v>
      </c>
      <c r="Q19" s="40">
        <v>49155</v>
      </c>
      <c r="R19" s="40">
        <v>42391</v>
      </c>
      <c r="S19" s="40">
        <v>614</v>
      </c>
      <c r="T19" s="67">
        <f t="shared" si="17"/>
        <v>92160</v>
      </c>
      <c r="U19" s="73">
        <f t="shared" si="11"/>
        <v>317216</v>
      </c>
    </row>
    <row r="20" spans="1:22" s="264" customFormat="1">
      <c r="A20" s="250" t="s">
        <v>33</v>
      </c>
      <c r="B20" s="83" t="s">
        <v>39</v>
      </c>
      <c r="C20" s="228">
        <v>0.82</v>
      </c>
      <c r="D20" s="76">
        <f t="shared" si="13"/>
        <v>4700.24</v>
      </c>
      <c r="E20" s="76">
        <f t="shared" si="14"/>
        <v>4700.24</v>
      </c>
      <c r="F20" s="216">
        <v>1</v>
      </c>
      <c r="G20" s="76">
        <f>F20*K4</f>
        <v>5732</v>
      </c>
      <c r="H20" s="98">
        <f t="shared" si="15"/>
        <v>15133.48</v>
      </c>
      <c r="I20" s="76">
        <f>G20</f>
        <v>5732</v>
      </c>
      <c r="J20" s="76">
        <f t="shared" ref="J20:K22" si="18">I20</f>
        <v>5732</v>
      </c>
      <c r="K20" s="76">
        <f t="shared" si="18"/>
        <v>5732</v>
      </c>
      <c r="L20" s="85">
        <f t="shared" si="12"/>
        <v>17196</v>
      </c>
      <c r="M20" s="76">
        <f>K20</f>
        <v>5732</v>
      </c>
      <c r="N20" s="76">
        <f t="shared" ref="N20:O22" si="19">M20</f>
        <v>5732</v>
      </c>
      <c r="O20" s="76">
        <f t="shared" si="19"/>
        <v>5732</v>
      </c>
      <c r="P20" s="98">
        <f>O20+N20+M20</f>
        <v>17196</v>
      </c>
      <c r="Q20" s="76">
        <f>O20</f>
        <v>5732</v>
      </c>
      <c r="R20" s="76">
        <f t="shared" ref="R20:S22" si="20">Q20</f>
        <v>5732</v>
      </c>
      <c r="S20" s="76">
        <f t="shared" si="20"/>
        <v>5732</v>
      </c>
      <c r="T20" s="98">
        <f t="shared" si="17"/>
        <v>17196</v>
      </c>
      <c r="U20" s="149">
        <f t="shared" si="11"/>
        <v>66721.48</v>
      </c>
    </row>
    <row r="21" spans="1:22" s="264" customFormat="1">
      <c r="A21" s="251" t="s">
        <v>34</v>
      </c>
      <c r="B21" s="24" t="s">
        <v>41</v>
      </c>
      <c r="C21" s="225">
        <v>0.12</v>
      </c>
      <c r="D21" s="28">
        <f t="shared" si="13"/>
        <v>687.83999999999992</v>
      </c>
      <c r="E21" s="28">
        <f t="shared" si="14"/>
        <v>687.83999999999992</v>
      </c>
      <c r="F21" s="217">
        <v>0.2</v>
      </c>
      <c r="G21" s="28">
        <f>F21*K4</f>
        <v>1146.4000000000001</v>
      </c>
      <c r="H21" s="20">
        <f t="shared" si="15"/>
        <v>2522.2799999999997</v>
      </c>
      <c r="I21" s="28">
        <f>G21</f>
        <v>1146.4000000000001</v>
      </c>
      <c r="J21" s="28">
        <f t="shared" si="18"/>
        <v>1146.4000000000001</v>
      </c>
      <c r="K21" s="28">
        <f t="shared" si="18"/>
        <v>1146.4000000000001</v>
      </c>
      <c r="L21" s="22">
        <f t="shared" si="12"/>
        <v>3439.2000000000003</v>
      </c>
      <c r="M21" s="28">
        <f>K21</f>
        <v>1146.4000000000001</v>
      </c>
      <c r="N21" s="28">
        <f t="shared" si="19"/>
        <v>1146.4000000000001</v>
      </c>
      <c r="O21" s="28">
        <f t="shared" si="19"/>
        <v>1146.4000000000001</v>
      </c>
      <c r="P21" s="20">
        <f t="shared" si="16"/>
        <v>3439.2000000000003</v>
      </c>
      <c r="Q21" s="28">
        <f>O21</f>
        <v>1146.4000000000001</v>
      </c>
      <c r="R21" s="28">
        <f t="shared" si="20"/>
        <v>1146.4000000000001</v>
      </c>
      <c r="S21" s="28">
        <f t="shared" si="20"/>
        <v>1146.4000000000001</v>
      </c>
      <c r="T21" s="20">
        <f t="shared" si="17"/>
        <v>3439.2000000000003</v>
      </c>
      <c r="U21" s="144">
        <f t="shared" si="11"/>
        <v>12839.880000000001</v>
      </c>
    </row>
    <row r="22" spans="1:22" s="264" customFormat="1">
      <c r="A22" s="251" t="s">
        <v>35</v>
      </c>
      <c r="B22" s="24" t="s">
        <v>123</v>
      </c>
      <c r="C22" s="225"/>
      <c r="D22" s="28"/>
      <c r="E22" s="28"/>
      <c r="F22" s="217">
        <v>1.5</v>
      </c>
      <c r="G22" s="28">
        <f>F22*K4</f>
        <v>8598</v>
      </c>
      <c r="H22" s="20">
        <f>D22+E22+G22</f>
        <v>8598</v>
      </c>
      <c r="I22" s="28">
        <f>G22</f>
        <v>8598</v>
      </c>
      <c r="J22" s="28">
        <f t="shared" si="18"/>
        <v>8598</v>
      </c>
      <c r="K22" s="28">
        <f t="shared" si="18"/>
        <v>8598</v>
      </c>
      <c r="L22" s="22">
        <f>I22+J22+K22</f>
        <v>25794</v>
      </c>
      <c r="M22" s="28">
        <f>K22</f>
        <v>8598</v>
      </c>
      <c r="N22" s="28">
        <f t="shared" si="19"/>
        <v>8598</v>
      </c>
      <c r="O22" s="28">
        <f t="shared" si="19"/>
        <v>8598</v>
      </c>
      <c r="P22" s="20">
        <f>SUM(M22:O22)</f>
        <v>25794</v>
      </c>
      <c r="Q22" s="28">
        <f>O22</f>
        <v>8598</v>
      </c>
      <c r="R22" s="28">
        <f t="shared" si="20"/>
        <v>8598</v>
      </c>
      <c r="S22" s="28">
        <f t="shared" si="20"/>
        <v>8598</v>
      </c>
      <c r="T22" s="20">
        <f>SUM(Q22:S22)</f>
        <v>25794</v>
      </c>
      <c r="U22" s="144">
        <f t="shared" si="11"/>
        <v>85980</v>
      </c>
    </row>
    <row r="23" spans="1:22" s="264" customFormat="1">
      <c r="A23" s="251" t="s">
        <v>124</v>
      </c>
      <c r="B23" s="24" t="s">
        <v>89</v>
      </c>
      <c r="C23" s="225"/>
      <c r="D23" s="28">
        <f t="shared" si="13"/>
        <v>0</v>
      </c>
      <c r="E23" s="28">
        <f t="shared" si="14"/>
        <v>0</v>
      </c>
      <c r="F23" s="275"/>
      <c r="G23" s="28">
        <f t="shared" ref="G23" si="21">C23*$K$4</f>
        <v>0</v>
      </c>
      <c r="H23" s="20">
        <f t="shared" si="15"/>
        <v>0</v>
      </c>
      <c r="I23" s="28">
        <v>0</v>
      </c>
      <c r="J23" s="28">
        <v>0</v>
      </c>
      <c r="K23" s="28">
        <v>0</v>
      </c>
      <c r="L23" s="22">
        <f t="shared" si="12"/>
        <v>0</v>
      </c>
      <c r="M23" s="28">
        <v>0</v>
      </c>
      <c r="N23" s="28">
        <v>0</v>
      </c>
      <c r="O23" s="28">
        <v>0</v>
      </c>
      <c r="P23" s="20">
        <f t="shared" si="16"/>
        <v>0</v>
      </c>
      <c r="Q23" s="28">
        <v>0</v>
      </c>
      <c r="R23" s="28">
        <v>0</v>
      </c>
      <c r="S23" s="28">
        <v>0</v>
      </c>
      <c r="T23" s="20">
        <f t="shared" si="17"/>
        <v>0</v>
      </c>
      <c r="U23" s="144">
        <f t="shared" si="11"/>
        <v>0</v>
      </c>
    </row>
    <row r="24" spans="1:22" s="264" customFormat="1">
      <c r="A24" s="251" t="s">
        <v>125</v>
      </c>
      <c r="B24" s="24" t="s">
        <v>90</v>
      </c>
      <c r="C24" s="225"/>
      <c r="D24" s="28">
        <f>SUM(D26:D27)</f>
        <v>0</v>
      </c>
      <c r="E24" s="28">
        <f>SUM(E26:E27)</f>
        <v>0</v>
      </c>
      <c r="F24" s="275"/>
      <c r="G24" s="28">
        <f>SUM(G26:G27)</f>
        <v>0</v>
      </c>
      <c r="H24" s="20">
        <f t="shared" si="15"/>
        <v>0</v>
      </c>
      <c r="I24" s="28">
        <f>SUM(I26:I27)</f>
        <v>0</v>
      </c>
      <c r="J24" s="28">
        <f>SUM(J26:J27)</f>
        <v>0</v>
      </c>
      <c r="K24" s="28">
        <f>SUM(K26:K27)</f>
        <v>0</v>
      </c>
      <c r="L24" s="22">
        <f t="shared" si="12"/>
        <v>0</v>
      </c>
      <c r="M24" s="28">
        <f>SUM(M26:M27)</f>
        <v>0</v>
      </c>
      <c r="N24" s="28">
        <f>SUM(N26:N27)</f>
        <v>0</v>
      </c>
      <c r="O24" s="28">
        <f>SUM(O26:O27)</f>
        <v>0</v>
      </c>
      <c r="P24" s="20">
        <f t="shared" si="16"/>
        <v>0</v>
      </c>
      <c r="Q24" s="28">
        <f>SUM(Q26:Q27)</f>
        <v>0</v>
      </c>
      <c r="R24" s="28">
        <f>SUM(R26:R27)</f>
        <v>0</v>
      </c>
      <c r="S24" s="28">
        <f>SUM(S26:S27)</f>
        <v>0</v>
      </c>
      <c r="T24" s="20">
        <f t="shared" si="17"/>
        <v>0</v>
      </c>
      <c r="U24" s="144">
        <f t="shared" si="11"/>
        <v>0</v>
      </c>
    </row>
    <row r="25" spans="1:22" s="264" customFormat="1">
      <c r="A25" s="251"/>
      <c r="B25" s="24" t="s">
        <v>44</v>
      </c>
      <c r="C25" s="225"/>
      <c r="D25" s="28"/>
      <c r="E25" s="28"/>
      <c r="F25" s="275"/>
      <c r="G25" s="28"/>
      <c r="H25" s="20">
        <f t="shared" si="15"/>
        <v>0</v>
      </c>
      <c r="I25" s="28"/>
      <c r="J25" s="28"/>
      <c r="K25" s="28"/>
      <c r="L25" s="22">
        <f t="shared" si="12"/>
        <v>0</v>
      </c>
      <c r="M25" s="28"/>
      <c r="N25" s="28"/>
      <c r="O25" s="28"/>
      <c r="P25" s="20">
        <f t="shared" si="16"/>
        <v>0</v>
      </c>
      <c r="Q25" s="28"/>
      <c r="R25" s="28"/>
      <c r="S25" s="28"/>
      <c r="T25" s="20">
        <f t="shared" si="17"/>
        <v>0</v>
      </c>
      <c r="U25" s="144">
        <f t="shared" si="11"/>
        <v>0</v>
      </c>
    </row>
    <row r="26" spans="1:22" s="264" customFormat="1">
      <c r="A26" s="251"/>
      <c r="B26" s="24" t="s">
        <v>91</v>
      </c>
      <c r="C26" s="225"/>
      <c r="D26" s="28"/>
      <c r="E26" s="28"/>
      <c r="F26" s="275"/>
      <c r="G26" s="28"/>
      <c r="H26" s="20">
        <f t="shared" si="15"/>
        <v>0</v>
      </c>
      <c r="I26" s="28"/>
      <c r="J26" s="28"/>
      <c r="K26" s="30"/>
      <c r="L26" s="22">
        <f t="shared" si="12"/>
        <v>0</v>
      </c>
      <c r="M26" s="28"/>
      <c r="N26" s="28"/>
      <c r="O26" s="28"/>
      <c r="P26" s="20">
        <f t="shared" si="16"/>
        <v>0</v>
      </c>
      <c r="Q26" s="28"/>
      <c r="R26" s="28"/>
      <c r="S26" s="28"/>
      <c r="T26" s="20">
        <f t="shared" si="17"/>
        <v>0</v>
      </c>
      <c r="U26" s="144">
        <f t="shared" si="11"/>
        <v>0</v>
      </c>
    </row>
    <row r="27" spans="1:22" s="264" customFormat="1">
      <c r="A27" s="251"/>
      <c r="B27" s="24" t="s">
        <v>53</v>
      </c>
      <c r="C27" s="225"/>
      <c r="D27" s="28"/>
      <c r="E27" s="28"/>
      <c r="F27" s="275"/>
      <c r="G27" s="30"/>
      <c r="H27" s="20">
        <f t="shared" si="15"/>
        <v>0</v>
      </c>
      <c r="I27" s="28"/>
      <c r="J27" s="28"/>
      <c r="K27" s="30"/>
      <c r="L27" s="20">
        <f t="shared" ref="L27" si="22">SUM(I27:K27)</f>
        <v>0</v>
      </c>
      <c r="M27" s="28"/>
      <c r="N27" s="28"/>
      <c r="O27" s="30"/>
      <c r="P27" s="20">
        <f t="shared" si="16"/>
        <v>0</v>
      </c>
      <c r="Q27" s="28"/>
      <c r="R27" s="28"/>
      <c r="S27" s="28"/>
      <c r="T27" s="20">
        <f t="shared" si="17"/>
        <v>0</v>
      </c>
      <c r="U27" s="144">
        <f t="shared" si="11"/>
        <v>0</v>
      </c>
    </row>
    <row r="28" spans="1:22" s="264" customFormat="1" ht="15.75" thickBot="1">
      <c r="A28" s="261"/>
      <c r="B28" s="189" t="s">
        <v>43</v>
      </c>
      <c r="C28" s="229"/>
      <c r="D28" s="190"/>
      <c r="E28" s="156"/>
      <c r="F28" s="276"/>
      <c r="G28" s="156"/>
      <c r="H28" s="155">
        <f>H11-H15</f>
        <v>45036.25</v>
      </c>
      <c r="I28" s="156"/>
      <c r="J28" s="156"/>
      <c r="K28" s="156"/>
      <c r="L28" s="155">
        <f>L11-L15</f>
        <v>-138813.61000000002</v>
      </c>
      <c r="M28" s="157"/>
      <c r="N28" s="157"/>
      <c r="O28" s="156"/>
      <c r="P28" s="155">
        <f>P11-P15</f>
        <v>58781.719999999972</v>
      </c>
      <c r="Q28" s="156"/>
      <c r="R28" s="156"/>
      <c r="S28" s="156"/>
      <c r="T28" s="155">
        <f>T11-T15</f>
        <v>-9710.859999999986</v>
      </c>
      <c r="U28" s="158">
        <f t="shared" si="11"/>
        <v>-44706.500000000029</v>
      </c>
      <c r="V28" s="266"/>
    </row>
  </sheetData>
  <mergeCells count="4">
    <mergeCell ref="A1:L1"/>
    <mergeCell ref="A2:L2"/>
    <mergeCell ref="A3:L3"/>
    <mergeCell ref="R3:V3"/>
  </mergeCells>
  <pageMargins left="0.7" right="0.7" top="0.75" bottom="0.75" header="0.3" footer="0.3"/>
  <pageSetup paperSize="9" scale="55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27"/>
  <sheetViews>
    <sheetView zoomScaleNormal="100" workbookViewId="0">
      <selection activeCell="V30" sqref="V30"/>
    </sheetView>
  </sheetViews>
  <sheetFormatPr defaultRowHeight="15"/>
  <cols>
    <col min="1" max="1" width="5.7109375" customWidth="1"/>
    <col min="2" max="2" width="30" customWidth="1"/>
    <col min="3" max="20" width="9.28515625" bestFit="1" customWidth="1"/>
    <col min="21" max="21" width="9.85546875" bestFit="1" customWidth="1"/>
    <col min="22" max="22" width="9.28515625" bestFit="1" customWidth="1"/>
  </cols>
  <sheetData>
    <row r="1" spans="1:23" s="14" customFormat="1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N1" s="14" t="s">
        <v>130</v>
      </c>
      <c r="S1" s="13" t="s">
        <v>94</v>
      </c>
      <c r="T1" s="13"/>
      <c r="U1" s="13"/>
      <c r="V1" s="13"/>
      <c r="W1" s="13"/>
    </row>
    <row r="2" spans="1:23" s="14" customFormat="1">
      <c r="A2" s="371" t="s">
        <v>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S2" s="13" t="s">
        <v>95</v>
      </c>
      <c r="T2" s="13"/>
      <c r="U2" s="13"/>
      <c r="V2" s="13"/>
      <c r="W2" s="13"/>
    </row>
    <row r="3" spans="1:23" s="14" customFormat="1">
      <c r="A3" s="376" t="s">
        <v>131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S3" s="373" t="s">
        <v>138</v>
      </c>
      <c r="T3" s="373"/>
      <c r="U3" s="373"/>
      <c r="V3" s="373"/>
      <c r="W3" s="373"/>
    </row>
    <row r="4" spans="1:23" s="14" customFormat="1" ht="15.75" thickBot="1">
      <c r="B4" s="14" t="s">
        <v>132</v>
      </c>
      <c r="K4" s="14">
        <v>5658</v>
      </c>
    </row>
    <row r="5" spans="1:23" s="14" customFormat="1" ht="15.75" thickBot="1">
      <c r="A5" s="244"/>
      <c r="B5" s="245" t="s">
        <v>2</v>
      </c>
      <c r="C5" s="267" t="s">
        <v>3</v>
      </c>
      <c r="D5" s="245" t="s">
        <v>4</v>
      </c>
      <c r="E5" s="245" t="s">
        <v>5</v>
      </c>
      <c r="F5" s="301" t="s">
        <v>3</v>
      </c>
      <c r="G5" s="245" t="s">
        <v>6</v>
      </c>
      <c r="H5" s="180" t="s">
        <v>7</v>
      </c>
      <c r="I5" s="245" t="s">
        <v>8</v>
      </c>
      <c r="J5" s="245" t="s">
        <v>9</v>
      </c>
      <c r="K5" s="245" t="s">
        <v>10</v>
      </c>
      <c r="L5" s="179" t="s">
        <v>11</v>
      </c>
      <c r="M5" s="245" t="s">
        <v>54</v>
      </c>
      <c r="N5" s="245" t="s">
        <v>55</v>
      </c>
      <c r="O5" s="245" t="s">
        <v>56</v>
      </c>
      <c r="P5" s="179" t="s">
        <v>57</v>
      </c>
      <c r="Q5" s="245" t="s">
        <v>63</v>
      </c>
      <c r="R5" s="245" t="s">
        <v>64</v>
      </c>
      <c r="S5" s="245" t="s">
        <v>65</v>
      </c>
      <c r="T5" s="179" t="s">
        <v>66</v>
      </c>
      <c r="U5" s="247" t="s">
        <v>71</v>
      </c>
    </row>
    <row r="6" spans="1:23" s="14" customFormat="1" ht="36" customHeight="1" thickBot="1">
      <c r="A6" s="95" t="s">
        <v>12</v>
      </c>
      <c r="B6" s="248" t="s">
        <v>13</v>
      </c>
      <c r="C6" s="268"/>
      <c r="D6" s="67">
        <f>SUM(D7:D10)</f>
        <v>87755.58</v>
      </c>
      <c r="E6" s="67">
        <f>SUM(E7:E10)</f>
        <v>87755.64</v>
      </c>
      <c r="F6" s="300"/>
      <c r="G6" s="67">
        <f t="shared" ref="G6:T6" si="0">SUM(G7:G10)</f>
        <v>94545.180000000008</v>
      </c>
      <c r="H6" s="67">
        <f t="shared" si="0"/>
        <v>270073.11</v>
      </c>
      <c r="I6" s="67">
        <f t="shared" si="0"/>
        <v>82097.58</v>
      </c>
      <c r="J6" s="67">
        <f t="shared" si="0"/>
        <v>94545.180000000008</v>
      </c>
      <c r="K6" s="67">
        <f t="shared" si="0"/>
        <v>82097.58</v>
      </c>
      <c r="L6" s="67">
        <f t="shared" si="0"/>
        <v>258740.34000000005</v>
      </c>
      <c r="M6" s="67">
        <f t="shared" si="0"/>
        <v>94545.180000000008</v>
      </c>
      <c r="N6" s="67">
        <f t="shared" si="0"/>
        <v>94545.180000000008</v>
      </c>
      <c r="O6" s="67">
        <f t="shared" si="0"/>
        <v>94545.180000000008</v>
      </c>
      <c r="P6" s="67">
        <f t="shared" si="0"/>
        <v>283635.54000000004</v>
      </c>
      <c r="Q6" s="67">
        <f t="shared" si="0"/>
        <v>94545.180000000008</v>
      </c>
      <c r="R6" s="67">
        <f t="shared" si="0"/>
        <v>94545.180000000008</v>
      </c>
      <c r="S6" s="67">
        <f t="shared" si="0"/>
        <v>94545.180000000008</v>
      </c>
      <c r="T6" s="67">
        <f t="shared" si="0"/>
        <v>283635.54000000004</v>
      </c>
      <c r="U6" s="96">
        <f t="shared" ref="U6:U11" si="1">H6+L6+P6+T6</f>
        <v>1096084.5300000003</v>
      </c>
    </row>
    <row r="7" spans="1:23" s="14" customFormat="1">
      <c r="A7" s="250" t="s">
        <v>14</v>
      </c>
      <c r="B7" s="83" t="s">
        <v>15</v>
      </c>
      <c r="C7" s="216">
        <v>11.08</v>
      </c>
      <c r="D7" s="76">
        <f>C7*K4</f>
        <v>62690.64</v>
      </c>
      <c r="E7" s="76">
        <f>C7*$K$4</f>
        <v>62690.64</v>
      </c>
      <c r="F7" s="291">
        <v>11.71</v>
      </c>
      <c r="G7" s="76">
        <f>F7*K4</f>
        <v>66255.180000000008</v>
      </c>
      <c r="H7" s="98">
        <f>SUM(D7:G7)</f>
        <v>191648.17</v>
      </c>
      <c r="I7" s="76">
        <f>G7</f>
        <v>66255.180000000008</v>
      </c>
      <c r="J7" s="76">
        <f>I7</f>
        <v>66255.180000000008</v>
      </c>
      <c r="K7" s="76">
        <f>J7</f>
        <v>66255.180000000008</v>
      </c>
      <c r="L7" s="85">
        <f t="shared" ref="L7:L10" si="2">I7+J7+K7</f>
        <v>198765.54000000004</v>
      </c>
      <c r="M7" s="76">
        <f>K7</f>
        <v>66255.180000000008</v>
      </c>
      <c r="N7" s="76">
        <f>M7</f>
        <v>66255.180000000008</v>
      </c>
      <c r="O7" s="76">
        <f>N7</f>
        <v>66255.180000000008</v>
      </c>
      <c r="P7" s="85">
        <f>SUM(M7:O7)</f>
        <v>198765.54000000004</v>
      </c>
      <c r="Q7" s="76">
        <f>O7</f>
        <v>66255.180000000008</v>
      </c>
      <c r="R7" s="76">
        <f t="shared" ref="R7:S9" si="3">Q7</f>
        <v>66255.180000000008</v>
      </c>
      <c r="S7" s="76">
        <f t="shared" si="3"/>
        <v>66255.180000000008</v>
      </c>
      <c r="T7" s="85">
        <f>SUM(Q7:S7)</f>
        <v>198765.54000000004</v>
      </c>
      <c r="U7" s="149">
        <f t="shared" si="1"/>
        <v>787944.79000000015</v>
      </c>
    </row>
    <row r="8" spans="1:23" s="14" customFormat="1">
      <c r="A8" s="251" t="s">
        <v>16</v>
      </c>
      <c r="B8" s="24" t="s">
        <v>17</v>
      </c>
      <c r="C8" s="217">
        <v>2.57</v>
      </c>
      <c r="D8" s="28">
        <f t="shared" ref="D8:D10" si="4">C8*$K$4</f>
        <v>14541.06</v>
      </c>
      <c r="E8" s="28">
        <v>14541</v>
      </c>
      <c r="F8" s="288">
        <v>2.8</v>
      </c>
      <c r="G8" s="28">
        <f>F8*K4</f>
        <v>15842.4</v>
      </c>
      <c r="H8" s="20">
        <f t="shared" ref="H8:H10" si="5">SUM(D8:G8)</f>
        <v>44927.259999999995</v>
      </c>
      <c r="I8" s="28">
        <f>F8*K4</f>
        <v>15842.4</v>
      </c>
      <c r="J8" s="28">
        <f>F8*K4</f>
        <v>15842.4</v>
      </c>
      <c r="K8" s="28">
        <f>F8*K4</f>
        <v>15842.4</v>
      </c>
      <c r="L8" s="22">
        <f t="shared" si="2"/>
        <v>47527.199999999997</v>
      </c>
      <c r="M8" s="28">
        <f>F8*K4</f>
        <v>15842.4</v>
      </c>
      <c r="N8" s="28">
        <f>F8*K4</f>
        <v>15842.4</v>
      </c>
      <c r="O8" s="28">
        <f>F8*K4</f>
        <v>15842.4</v>
      </c>
      <c r="P8" s="22">
        <f t="shared" ref="P8:P10" si="6">SUM(M8:O8)</f>
        <v>47527.199999999997</v>
      </c>
      <c r="Q8" s="28">
        <f>O8</f>
        <v>15842.4</v>
      </c>
      <c r="R8" s="28">
        <f>F8*K4</f>
        <v>15842.4</v>
      </c>
      <c r="S8" s="28">
        <f>F8*K4</f>
        <v>15842.4</v>
      </c>
      <c r="T8" s="22">
        <f t="shared" ref="T8:T10" si="7">SUM(Q8:S8)</f>
        <v>47527.199999999997</v>
      </c>
      <c r="U8" s="144">
        <f t="shared" si="1"/>
        <v>187508.86</v>
      </c>
    </row>
    <row r="9" spans="1:23" s="14" customFormat="1">
      <c r="A9" s="251" t="s">
        <v>18</v>
      </c>
      <c r="B9" s="24" t="s">
        <v>30</v>
      </c>
      <c r="C9" s="217">
        <v>1.86</v>
      </c>
      <c r="D9" s="28">
        <f>C9*K4</f>
        <v>10523.880000000001</v>
      </c>
      <c r="E9" s="28">
        <v>10524</v>
      </c>
      <c r="F9" s="288">
        <v>2.2000000000000002</v>
      </c>
      <c r="G9" s="28">
        <f>F9*K4</f>
        <v>12447.6</v>
      </c>
      <c r="H9" s="20">
        <f t="shared" si="5"/>
        <v>33497.68</v>
      </c>
      <c r="I9" s="90">
        <v>0</v>
      </c>
      <c r="J9" s="28">
        <f>F9*K4</f>
        <v>12447.6</v>
      </c>
      <c r="K9" s="90">
        <v>0</v>
      </c>
      <c r="L9" s="22">
        <f t="shared" si="2"/>
        <v>12447.6</v>
      </c>
      <c r="M9" s="28">
        <f>F9*K4</f>
        <v>12447.6</v>
      </c>
      <c r="N9" s="28">
        <f>F9*K4</f>
        <v>12447.6</v>
      </c>
      <c r="O9" s="28">
        <f>F9*K4</f>
        <v>12447.6</v>
      </c>
      <c r="P9" s="22">
        <f>O9+N9+M9</f>
        <v>37342.800000000003</v>
      </c>
      <c r="Q9" s="28">
        <f>O9</f>
        <v>12447.6</v>
      </c>
      <c r="R9" s="28">
        <f>O9</f>
        <v>12447.6</v>
      </c>
      <c r="S9" s="28">
        <f t="shared" si="3"/>
        <v>12447.6</v>
      </c>
      <c r="T9" s="22">
        <f t="shared" si="7"/>
        <v>37342.800000000003</v>
      </c>
      <c r="U9" s="144">
        <f t="shared" si="1"/>
        <v>120630.88</v>
      </c>
    </row>
    <row r="10" spans="1:23" s="14" customFormat="1" ht="15.75" thickBot="1">
      <c r="A10" s="252" t="s">
        <v>31</v>
      </c>
      <c r="B10" s="81" t="s">
        <v>19</v>
      </c>
      <c r="C10" s="218">
        <v>0</v>
      </c>
      <c r="D10" s="58">
        <f t="shared" si="4"/>
        <v>0</v>
      </c>
      <c r="E10" s="58">
        <f t="shared" ref="E10" si="8">C10*$K$4</f>
        <v>0</v>
      </c>
      <c r="F10" s="289"/>
      <c r="G10" s="58">
        <f t="shared" ref="G10" si="9">C10*$K$4</f>
        <v>0</v>
      </c>
      <c r="H10" s="66">
        <f t="shared" si="5"/>
        <v>0</v>
      </c>
      <c r="I10" s="58">
        <f t="shared" ref="I10" si="10">C10*$K$4</f>
        <v>0</v>
      </c>
      <c r="J10" s="58">
        <f t="shared" ref="J10" si="11">C10*$K$4</f>
        <v>0</v>
      </c>
      <c r="K10" s="58">
        <f>C10*$K$4</f>
        <v>0</v>
      </c>
      <c r="L10" s="84">
        <f t="shared" si="2"/>
        <v>0</v>
      </c>
      <c r="M10" s="58">
        <f>C10*$K$4</f>
        <v>0</v>
      </c>
      <c r="N10" s="58">
        <f>C10*$K$4</f>
        <v>0</v>
      </c>
      <c r="O10" s="58">
        <f>C10*$K$4</f>
        <v>0</v>
      </c>
      <c r="P10" s="84">
        <f t="shared" si="6"/>
        <v>0</v>
      </c>
      <c r="Q10" s="58">
        <f>C10*$K$4</f>
        <v>0</v>
      </c>
      <c r="R10" s="58">
        <f>C10*$K$4</f>
        <v>0</v>
      </c>
      <c r="S10" s="58">
        <f>C10*$K$4</f>
        <v>0</v>
      </c>
      <c r="T10" s="84">
        <f t="shared" si="7"/>
        <v>0</v>
      </c>
      <c r="U10" s="147">
        <f t="shared" si="1"/>
        <v>0</v>
      </c>
    </row>
    <row r="11" spans="1:23" s="14" customFormat="1" ht="15.75" thickBot="1">
      <c r="A11" s="253" t="s">
        <v>32</v>
      </c>
      <c r="B11" s="82" t="s">
        <v>20</v>
      </c>
      <c r="C11" s="219"/>
      <c r="D11" s="40">
        <v>72268.679999999993</v>
      </c>
      <c r="E11" s="40">
        <v>82240.31</v>
      </c>
      <c r="F11" s="290"/>
      <c r="G11" s="40">
        <v>72866.740000000005</v>
      </c>
      <c r="H11" s="119">
        <f>D11+E11+G11+G12</f>
        <v>227375.72999999998</v>
      </c>
      <c r="I11" s="40">
        <f>65952.6+9080.4</f>
        <v>75033</v>
      </c>
      <c r="J11" s="40">
        <v>63241.03</v>
      </c>
      <c r="K11" s="40">
        <v>72051.47</v>
      </c>
      <c r="L11" s="68">
        <f>I11+J11+K11+K12</f>
        <v>219025.5</v>
      </c>
      <c r="M11" s="40">
        <v>74603.44</v>
      </c>
      <c r="N11" s="40">
        <v>85889.27</v>
      </c>
      <c r="O11" s="40">
        <v>87919.12</v>
      </c>
      <c r="P11" s="68">
        <f>M11+N11+O11+O12</f>
        <v>248411.83000000002</v>
      </c>
      <c r="Q11" s="40">
        <v>81663.28</v>
      </c>
      <c r="R11" s="40">
        <v>79421.820000000007</v>
      </c>
      <c r="S11" s="40">
        <v>96058.07</v>
      </c>
      <c r="T11" s="68">
        <f>Q11+R11+S11+S12</f>
        <v>267643.17000000004</v>
      </c>
      <c r="U11" s="125">
        <f t="shared" si="1"/>
        <v>962456.2300000001</v>
      </c>
    </row>
    <row r="12" spans="1:23" s="14" customFormat="1">
      <c r="A12" s="254"/>
      <c r="B12" s="83" t="s">
        <v>87</v>
      </c>
      <c r="C12" s="216"/>
      <c r="D12" s="76"/>
      <c r="E12" s="76"/>
      <c r="F12" s="291"/>
      <c r="G12" s="76"/>
      <c r="H12" s="98"/>
      <c r="I12" s="76"/>
      <c r="J12" s="76"/>
      <c r="K12" s="231">
        <v>8700</v>
      </c>
      <c r="L12" s="85"/>
      <c r="M12" s="76"/>
      <c r="N12" s="76"/>
      <c r="O12" s="76"/>
      <c r="P12" s="85"/>
      <c r="Q12" s="76"/>
      <c r="R12" s="76"/>
      <c r="S12" s="231">
        <f>8700+1800</f>
        <v>10500</v>
      </c>
      <c r="T12" s="85"/>
      <c r="U12" s="149"/>
    </row>
    <row r="13" spans="1:23" s="14" customFormat="1" ht="15.75" thickBot="1">
      <c r="A13" s="252"/>
      <c r="B13" s="81" t="s">
        <v>21</v>
      </c>
      <c r="C13" s="218"/>
      <c r="D13" s="58">
        <f>D11-D6</f>
        <v>-15486.900000000009</v>
      </c>
      <c r="E13" s="58">
        <f>E11-E6</f>
        <v>-5515.3300000000017</v>
      </c>
      <c r="F13" s="289"/>
      <c r="G13" s="58">
        <f t="shared" ref="G13:T13" si="12">G11-G6</f>
        <v>-21678.440000000002</v>
      </c>
      <c r="H13" s="84">
        <f t="shared" si="12"/>
        <v>-42697.380000000005</v>
      </c>
      <c r="I13" s="58">
        <f t="shared" si="12"/>
        <v>-7064.5800000000017</v>
      </c>
      <c r="J13" s="58">
        <f t="shared" si="12"/>
        <v>-31304.150000000009</v>
      </c>
      <c r="K13" s="58">
        <f t="shared" si="12"/>
        <v>-10046.11</v>
      </c>
      <c r="L13" s="84">
        <f t="shared" si="12"/>
        <v>-39714.840000000055</v>
      </c>
      <c r="M13" s="58">
        <f t="shared" si="12"/>
        <v>-19941.740000000005</v>
      </c>
      <c r="N13" s="58">
        <f t="shared" si="12"/>
        <v>-8655.9100000000035</v>
      </c>
      <c r="O13" s="58">
        <f t="shared" si="12"/>
        <v>-6626.0600000000122</v>
      </c>
      <c r="P13" s="84">
        <f t="shared" si="12"/>
        <v>-35223.710000000021</v>
      </c>
      <c r="Q13" s="58">
        <f t="shared" si="12"/>
        <v>-12881.900000000009</v>
      </c>
      <c r="R13" s="58">
        <f t="shared" si="12"/>
        <v>-15123.36</v>
      </c>
      <c r="S13" s="58">
        <f t="shared" si="12"/>
        <v>1512.8899999999994</v>
      </c>
      <c r="T13" s="84">
        <f t="shared" si="12"/>
        <v>-15992.369999999995</v>
      </c>
      <c r="U13" s="147">
        <f t="shared" ref="U13:U27" si="13">H13+L13+P13+T13</f>
        <v>-133628.30000000008</v>
      </c>
    </row>
    <row r="14" spans="1:23" s="14" customFormat="1" ht="38.25" customHeight="1" thickBot="1">
      <c r="A14" s="95" t="s">
        <v>22</v>
      </c>
      <c r="B14" s="248" t="s">
        <v>23</v>
      </c>
      <c r="C14" s="219"/>
      <c r="D14" s="69">
        <f>SUM(D15:D23)</f>
        <v>53538.879999999997</v>
      </c>
      <c r="E14" s="69">
        <f>SUM(E15:E23)</f>
        <v>57248.939999999995</v>
      </c>
      <c r="F14" s="290"/>
      <c r="G14" s="69">
        <f>SUM(G15:G23)</f>
        <v>67278.01999999999</v>
      </c>
      <c r="H14" s="67">
        <f>SUM(D14:G14)</f>
        <v>178065.83999999997</v>
      </c>
      <c r="I14" s="69">
        <f>SUM(I15:I23)</f>
        <v>56071.42</v>
      </c>
      <c r="J14" s="69">
        <f>SUM(J15:J23)</f>
        <v>112526.02</v>
      </c>
      <c r="K14" s="69">
        <f>SUM(K15:K23)</f>
        <v>60326.42</v>
      </c>
      <c r="L14" s="69">
        <f t="shared" ref="L14:L26" si="14">I14+J14+K14</f>
        <v>228923.86</v>
      </c>
      <c r="M14" s="69">
        <f>SUM(M15:M23)</f>
        <v>68665.01999999999</v>
      </c>
      <c r="N14" s="69">
        <f>SUM(N15:N23)</f>
        <v>78823.02</v>
      </c>
      <c r="O14" s="69">
        <f>SUM(O15:O23)</f>
        <v>73016.01999999999</v>
      </c>
      <c r="P14" s="67">
        <f>SUM(M14:O14)</f>
        <v>220504.05999999997</v>
      </c>
      <c r="Q14" s="69">
        <f>SUM(Q15:Q23)</f>
        <v>120785.02</v>
      </c>
      <c r="R14" s="69">
        <f>SUM(R15:R23)</f>
        <v>75321.02</v>
      </c>
      <c r="S14" s="69">
        <f>SUM(S15:S23)</f>
        <v>110537.02</v>
      </c>
      <c r="T14" s="67">
        <f>SUM(Q14:S14)</f>
        <v>306643.06</v>
      </c>
      <c r="U14" s="96">
        <f t="shared" si="13"/>
        <v>934136.81999999983</v>
      </c>
    </row>
    <row r="15" spans="1:23" s="14" customFormat="1">
      <c r="A15" s="250" t="s">
        <v>24</v>
      </c>
      <c r="B15" s="83" t="s">
        <v>17</v>
      </c>
      <c r="C15" s="216">
        <v>2.57</v>
      </c>
      <c r="D15" s="76">
        <f t="shared" ref="D15:D22" si="15">C15*$K$4</f>
        <v>14541.06</v>
      </c>
      <c r="E15" s="76">
        <v>14541</v>
      </c>
      <c r="F15" s="291">
        <v>2.8</v>
      </c>
      <c r="G15" s="76">
        <f>F15*K4</f>
        <v>15842.4</v>
      </c>
      <c r="H15" s="98">
        <f>SUM(D15:G15)</f>
        <v>44927.259999999995</v>
      </c>
      <c r="I15" s="76">
        <f>F15*K4</f>
        <v>15842.4</v>
      </c>
      <c r="J15" s="76">
        <f>F15*K4</f>
        <v>15842.4</v>
      </c>
      <c r="K15" s="76">
        <f>F15*K4</f>
        <v>15842.4</v>
      </c>
      <c r="L15" s="85">
        <f t="shared" si="14"/>
        <v>47527.199999999997</v>
      </c>
      <c r="M15" s="76">
        <f>F15*K4</f>
        <v>15842.4</v>
      </c>
      <c r="N15" s="76">
        <f>F15*K4</f>
        <v>15842.4</v>
      </c>
      <c r="O15" s="76">
        <f>F15*K4</f>
        <v>15842.4</v>
      </c>
      <c r="P15" s="98">
        <f>SUM(M15:O15)</f>
        <v>47527.199999999997</v>
      </c>
      <c r="Q15" s="76">
        <f>O15</f>
        <v>15842.4</v>
      </c>
      <c r="R15" s="76">
        <f>F15*K4</f>
        <v>15842.4</v>
      </c>
      <c r="S15" s="76">
        <f>F15*K4</f>
        <v>15842.4</v>
      </c>
      <c r="T15" s="98">
        <f>SUM(Q15:S15)</f>
        <v>47527.199999999997</v>
      </c>
      <c r="U15" s="149">
        <f t="shared" si="13"/>
        <v>187508.86</v>
      </c>
    </row>
    <row r="16" spans="1:23" s="14" customFormat="1">
      <c r="A16" s="251" t="s">
        <v>25</v>
      </c>
      <c r="B16" s="24" t="s">
        <v>88</v>
      </c>
      <c r="C16" s="217">
        <v>2.99</v>
      </c>
      <c r="D16" s="28">
        <f t="shared" si="15"/>
        <v>16917.420000000002</v>
      </c>
      <c r="E16" s="28">
        <f t="shared" ref="E16:E22" si="16">C16*$K$4</f>
        <v>16917.420000000002</v>
      </c>
      <c r="F16" s="288">
        <v>3.99</v>
      </c>
      <c r="G16" s="28">
        <f>F16*K4</f>
        <v>22575.420000000002</v>
      </c>
      <c r="H16" s="20">
        <f t="shared" ref="H16:H26" si="17">SUM(D16:G16)</f>
        <v>56414.25</v>
      </c>
      <c r="I16" s="28">
        <f>G16</f>
        <v>22575.420000000002</v>
      </c>
      <c r="J16" s="28">
        <f>I16</f>
        <v>22575.420000000002</v>
      </c>
      <c r="K16" s="28">
        <f>J16</f>
        <v>22575.420000000002</v>
      </c>
      <c r="L16" s="22">
        <f t="shared" si="14"/>
        <v>67726.260000000009</v>
      </c>
      <c r="M16" s="28">
        <f>K16</f>
        <v>22575.420000000002</v>
      </c>
      <c r="N16" s="28">
        <f>M16</f>
        <v>22575.420000000002</v>
      </c>
      <c r="O16" s="28">
        <f>N16</f>
        <v>22575.420000000002</v>
      </c>
      <c r="P16" s="20">
        <f>SUM(M16:O16)</f>
        <v>67726.260000000009</v>
      </c>
      <c r="Q16" s="28">
        <f>O16</f>
        <v>22575.420000000002</v>
      </c>
      <c r="R16" s="28">
        <f t="shared" ref="R16:S16" si="18">Q16</f>
        <v>22575.420000000002</v>
      </c>
      <c r="S16" s="28">
        <f t="shared" si="18"/>
        <v>22575.420000000002</v>
      </c>
      <c r="T16" s="20">
        <f>SUM(Q16:S16)</f>
        <v>67726.260000000009</v>
      </c>
      <c r="U16" s="144">
        <f t="shared" si="13"/>
        <v>259593.03000000003</v>
      </c>
    </row>
    <row r="17" spans="1:22" s="14" customFormat="1" ht="15.75" thickBot="1">
      <c r="A17" s="252" t="s">
        <v>27</v>
      </c>
      <c r="B17" s="81" t="s">
        <v>30</v>
      </c>
      <c r="C17" s="218">
        <v>1.86</v>
      </c>
      <c r="D17" s="58">
        <f>C17*K4</f>
        <v>10523.880000000001</v>
      </c>
      <c r="E17" s="58">
        <v>10524</v>
      </c>
      <c r="F17" s="289">
        <v>2.2000000000000002</v>
      </c>
      <c r="G17" s="58">
        <f>F17*K4</f>
        <v>12447.6</v>
      </c>
      <c r="H17" s="66">
        <f t="shared" si="17"/>
        <v>33497.68</v>
      </c>
      <c r="I17" s="350">
        <v>0</v>
      </c>
      <c r="J17" s="58">
        <f>F17*K4</f>
        <v>12447.6</v>
      </c>
      <c r="K17" s="350">
        <v>0</v>
      </c>
      <c r="L17" s="84">
        <f t="shared" si="14"/>
        <v>12447.6</v>
      </c>
      <c r="M17" s="58">
        <f>F17*K4</f>
        <v>12447.6</v>
      </c>
      <c r="N17" s="58">
        <f>F17*K4</f>
        <v>12447.6</v>
      </c>
      <c r="O17" s="58">
        <f>F17*K4</f>
        <v>12447.6</v>
      </c>
      <c r="P17" s="66">
        <f>O17+N17+M17</f>
        <v>37342.800000000003</v>
      </c>
      <c r="Q17" s="58">
        <f>F17*K4</f>
        <v>12447.6</v>
      </c>
      <c r="R17" s="58">
        <f>F17*K4</f>
        <v>12447.6</v>
      </c>
      <c r="S17" s="58">
        <f>F17*K4</f>
        <v>12447.6</v>
      </c>
      <c r="T17" s="66">
        <f t="shared" ref="T17:T26" si="19">SUM(Q17:S17)</f>
        <v>37342.800000000003</v>
      </c>
      <c r="U17" s="147">
        <f t="shared" si="13"/>
        <v>120630.88</v>
      </c>
    </row>
    <row r="18" spans="1:22" s="14" customFormat="1" ht="15.75" thickBot="1">
      <c r="A18" s="256" t="s">
        <v>28</v>
      </c>
      <c r="B18" s="82" t="s">
        <v>40</v>
      </c>
      <c r="C18" s="241"/>
      <c r="D18" s="40">
        <v>6238</v>
      </c>
      <c r="E18" s="40">
        <v>9948</v>
      </c>
      <c r="F18" s="290"/>
      <c r="G18" s="40">
        <v>1136</v>
      </c>
      <c r="H18" s="67">
        <f t="shared" si="17"/>
        <v>17322</v>
      </c>
      <c r="I18" s="40">
        <v>2377</v>
      </c>
      <c r="J18" s="40">
        <v>46384</v>
      </c>
      <c r="K18" s="40">
        <v>6632</v>
      </c>
      <c r="L18" s="69">
        <f t="shared" si="14"/>
        <v>55393</v>
      </c>
      <c r="M18" s="115">
        <v>2523</v>
      </c>
      <c r="N18" s="40">
        <v>12681</v>
      </c>
      <c r="O18" s="40">
        <v>6874</v>
      </c>
      <c r="P18" s="67">
        <f t="shared" ref="P18:P26" si="20">SUM(M18:O18)</f>
        <v>22078</v>
      </c>
      <c r="Q18" s="40">
        <v>54643</v>
      </c>
      <c r="R18" s="40">
        <v>9179</v>
      </c>
      <c r="S18" s="40">
        <v>44395</v>
      </c>
      <c r="T18" s="67">
        <f t="shared" si="19"/>
        <v>108217</v>
      </c>
      <c r="U18" s="73">
        <f t="shared" si="13"/>
        <v>203010</v>
      </c>
    </row>
    <row r="19" spans="1:22" s="14" customFormat="1">
      <c r="A19" s="250" t="s">
        <v>33</v>
      </c>
      <c r="B19" s="83" t="s">
        <v>39</v>
      </c>
      <c r="C19" s="216">
        <v>0.82</v>
      </c>
      <c r="D19" s="76">
        <f t="shared" si="15"/>
        <v>4639.5599999999995</v>
      </c>
      <c r="E19" s="76">
        <f t="shared" si="16"/>
        <v>4639.5599999999995</v>
      </c>
      <c r="F19" s="291">
        <v>1</v>
      </c>
      <c r="G19" s="76">
        <f>F19*K4</f>
        <v>5658</v>
      </c>
      <c r="H19" s="98">
        <f t="shared" si="17"/>
        <v>14938.119999999999</v>
      </c>
      <c r="I19" s="76">
        <f>G19</f>
        <v>5658</v>
      </c>
      <c r="J19" s="76">
        <f t="shared" ref="J19:K22" si="21">I19</f>
        <v>5658</v>
      </c>
      <c r="K19" s="76">
        <f t="shared" si="21"/>
        <v>5658</v>
      </c>
      <c r="L19" s="85">
        <f t="shared" si="14"/>
        <v>16974</v>
      </c>
      <c r="M19" s="76">
        <f>K19</f>
        <v>5658</v>
      </c>
      <c r="N19" s="76">
        <f t="shared" ref="N19:N22" si="22">M19</f>
        <v>5658</v>
      </c>
      <c r="O19" s="76">
        <f>N19</f>
        <v>5658</v>
      </c>
      <c r="P19" s="98">
        <f t="shared" si="20"/>
        <v>16974</v>
      </c>
      <c r="Q19" s="76">
        <f>O19</f>
        <v>5658</v>
      </c>
      <c r="R19" s="76">
        <f t="shared" ref="R19:S22" si="23">Q19</f>
        <v>5658</v>
      </c>
      <c r="S19" s="76">
        <f t="shared" si="23"/>
        <v>5658</v>
      </c>
      <c r="T19" s="98">
        <f t="shared" si="19"/>
        <v>16974</v>
      </c>
      <c r="U19" s="149">
        <f t="shared" si="13"/>
        <v>65860.12</v>
      </c>
    </row>
    <row r="20" spans="1:22" s="14" customFormat="1">
      <c r="A20" s="251" t="s">
        <v>34</v>
      </c>
      <c r="B20" s="24" t="s">
        <v>41</v>
      </c>
      <c r="C20" s="217">
        <v>0.12</v>
      </c>
      <c r="D20" s="28">
        <f t="shared" si="15"/>
        <v>678.95999999999992</v>
      </c>
      <c r="E20" s="28">
        <f t="shared" si="16"/>
        <v>678.95999999999992</v>
      </c>
      <c r="F20" s="288">
        <v>0.2</v>
      </c>
      <c r="G20" s="28">
        <f>F20*K4</f>
        <v>1131.6000000000001</v>
      </c>
      <c r="H20" s="20">
        <f t="shared" si="17"/>
        <v>2489.7200000000003</v>
      </c>
      <c r="I20" s="28">
        <f>G20</f>
        <v>1131.6000000000001</v>
      </c>
      <c r="J20" s="28">
        <f t="shared" si="21"/>
        <v>1131.6000000000001</v>
      </c>
      <c r="K20" s="28">
        <f t="shared" si="21"/>
        <v>1131.6000000000001</v>
      </c>
      <c r="L20" s="22">
        <f t="shared" si="14"/>
        <v>3394.8</v>
      </c>
      <c r="M20" s="28">
        <f>K20</f>
        <v>1131.6000000000001</v>
      </c>
      <c r="N20" s="28">
        <f t="shared" si="22"/>
        <v>1131.6000000000001</v>
      </c>
      <c r="O20" s="28">
        <f>N20</f>
        <v>1131.6000000000001</v>
      </c>
      <c r="P20" s="20">
        <f t="shared" si="20"/>
        <v>3394.8</v>
      </c>
      <c r="Q20" s="28">
        <f>O20</f>
        <v>1131.6000000000001</v>
      </c>
      <c r="R20" s="28">
        <f t="shared" si="23"/>
        <v>1131.6000000000001</v>
      </c>
      <c r="S20" s="28">
        <f t="shared" si="23"/>
        <v>1131.6000000000001</v>
      </c>
      <c r="T20" s="20">
        <f t="shared" si="19"/>
        <v>3394.8</v>
      </c>
      <c r="U20" s="144">
        <f t="shared" si="13"/>
        <v>12674.119999999999</v>
      </c>
    </row>
    <row r="21" spans="1:22" s="14" customFormat="1">
      <c r="A21" s="251" t="s">
        <v>35</v>
      </c>
      <c r="B21" s="24" t="s">
        <v>123</v>
      </c>
      <c r="C21" s="217"/>
      <c r="D21" s="28"/>
      <c r="E21" s="28"/>
      <c r="F21" s="288">
        <v>1.5</v>
      </c>
      <c r="G21" s="28">
        <f>F21*K4</f>
        <v>8487</v>
      </c>
      <c r="H21" s="20">
        <f>D21+E21+G21</f>
        <v>8487</v>
      </c>
      <c r="I21" s="28">
        <f>G21</f>
        <v>8487</v>
      </c>
      <c r="J21" s="28">
        <f>I21</f>
        <v>8487</v>
      </c>
      <c r="K21" s="28">
        <f>J21</f>
        <v>8487</v>
      </c>
      <c r="L21" s="22">
        <f>I21+J21+K21</f>
        <v>25461</v>
      </c>
      <c r="M21" s="28">
        <f>K21</f>
        <v>8487</v>
      </c>
      <c r="N21" s="28">
        <f>M21</f>
        <v>8487</v>
      </c>
      <c r="O21" s="28">
        <f>N21</f>
        <v>8487</v>
      </c>
      <c r="P21" s="20">
        <f>O21+N21+M21</f>
        <v>25461</v>
      </c>
      <c r="Q21" s="28">
        <f>O21</f>
        <v>8487</v>
      </c>
      <c r="R21" s="28">
        <f>Q21</f>
        <v>8487</v>
      </c>
      <c r="S21" s="28">
        <f>R21</f>
        <v>8487</v>
      </c>
      <c r="T21" s="20">
        <f>S21+R21+Q21</f>
        <v>25461</v>
      </c>
      <c r="U21" s="144">
        <f t="shared" si="13"/>
        <v>84870</v>
      </c>
    </row>
    <row r="22" spans="1:22" s="14" customFormat="1">
      <c r="A22" s="251" t="s">
        <v>124</v>
      </c>
      <c r="B22" s="24" t="s">
        <v>89</v>
      </c>
      <c r="C22" s="217"/>
      <c r="D22" s="28">
        <f t="shared" si="15"/>
        <v>0</v>
      </c>
      <c r="E22" s="28">
        <f t="shared" si="16"/>
        <v>0</v>
      </c>
      <c r="F22" s="288"/>
      <c r="G22" s="28">
        <f t="shared" ref="G22" si="24">C22*$K$4</f>
        <v>0</v>
      </c>
      <c r="H22" s="20">
        <f t="shared" si="17"/>
        <v>0</v>
      </c>
      <c r="I22" s="28">
        <f>G22</f>
        <v>0</v>
      </c>
      <c r="J22" s="28">
        <f t="shared" si="21"/>
        <v>0</v>
      </c>
      <c r="K22" s="28">
        <f t="shared" si="21"/>
        <v>0</v>
      </c>
      <c r="L22" s="22">
        <f t="shared" si="14"/>
        <v>0</v>
      </c>
      <c r="M22" s="28">
        <f>K22</f>
        <v>0</v>
      </c>
      <c r="N22" s="28">
        <f t="shared" si="22"/>
        <v>0</v>
      </c>
      <c r="O22" s="28">
        <f>N22</f>
        <v>0</v>
      </c>
      <c r="P22" s="20">
        <f t="shared" si="20"/>
        <v>0</v>
      </c>
      <c r="Q22" s="28">
        <f>O22</f>
        <v>0</v>
      </c>
      <c r="R22" s="28">
        <f t="shared" si="23"/>
        <v>0</v>
      </c>
      <c r="S22" s="28">
        <f t="shared" si="23"/>
        <v>0</v>
      </c>
      <c r="T22" s="20">
        <f t="shared" si="19"/>
        <v>0</v>
      </c>
      <c r="U22" s="144">
        <f t="shared" si="13"/>
        <v>0</v>
      </c>
    </row>
    <row r="23" spans="1:22" s="14" customFormat="1">
      <c r="A23" s="251" t="s">
        <v>125</v>
      </c>
      <c r="B23" s="24" t="s">
        <v>90</v>
      </c>
      <c r="C23" s="217"/>
      <c r="D23" s="28">
        <f>SUM(D25:D26)</f>
        <v>0</v>
      </c>
      <c r="E23" s="28">
        <f>SUM(E25:E26)</f>
        <v>0</v>
      </c>
      <c r="F23" s="288"/>
      <c r="G23" s="28">
        <f>SUM(G25:G26)</f>
        <v>0</v>
      </c>
      <c r="H23" s="20">
        <f t="shared" si="17"/>
        <v>0</v>
      </c>
      <c r="I23" s="28">
        <f>SUM(I25:I26)</f>
        <v>0</v>
      </c>
      <c r="J23" s="28">
        <f>SUM(J25:J26)</f>
        <v>0</v>
      </c>
      <c r="K23" s="28">
        <f>SUM(K25:K26)</f>
        <v>0</v>
      </c>
      <c r="L23" s="22">
        <f t="shared" si="14"/>
        <v>0</v>
      </c>
      <c r="M23" s="28">
        <f>SUM(M25:M26)</f>
        <v>0</v>
      </c>
      <c r="N23" s="28">
        <f>SUM(N25:N26)</f>
        <v>0</v>
      </c>
      <c r="O23" s="28">
        <f>SUM(O25:O26)</f>
        <v>0</v>
      </c>
      <c r="P23" s="20">
        <f t="shared" si="20"/>
        <v>0</v>
      </c>
      <c r="Q23" s="28">
        <f>SUM(Q25:Q26)</f>
        <v>0</v>
      </c>
      <c r="R23" s="28">
        <f>SUM(R25:R26)</f>
        <v>0</v>
      </c>
      <c r="S23" s="28">
        <f>SUM(S25:S26)</f>
        <v>0</v>
      </c>
      <c r="T23" s="20">
        <f t="shared" si="19"/>
        <v>0</v>
      </c>
      <c r="U23" s="144">
        <f t="shared" si="13"/>
        <v>0</v>
      </c>
    </row>
    <row r="24" spans="1:22" s="14" customFormat="1">
      <c r="A24" s="251"/>
      <c r="B24" s="24" t="s">
        <v>44</v>
      </c>
      <c r="C24" s="217"/>
      <c r="D24" s="28"/>
      <c r="E24" s="28"/>
      <c r="F24" s="288"/>
      <c r="G24" s="28"/>
      <c r="H24" s="20">
        <f t="shared" si="17"/>
        <v>0</v>
      </c>
      <c r="I24" s="28"/>
      <c r="J24" s="28"/>
      <c r="K24" s="28"/>
      <c r="L24" s="22">
        <f t="shared" si="14"/>
        <v>0</v>
      </c>
      <c r="M24" s="28"/>
      <c r="N24" s="28"/>
      <c r="O24" s="28"/>
      <c r="P24" s="20">
        <f t="shared" si="20"/>
        <v>0</v>
      </c>
      <c r="Q24" s="28"/>
      <c r="R24" s="28"/>
      <c r="S24" s="28"/>
      <c r="T24" s="20">
        <f t="shared" si="19"/>
        <v>0</v>
      </c>
      <c r="U24" s="144">
        <f t="shared" si="13"/>
        <v>0</v>
      </c>
    </row>
    <row r="25" spans="1:22" s="14" customFormat="1">
      <c r="A25" s="251"/>
      <c r="B25" s="24" t="s">
        <v>91</v>
      </c>
      <c r="C25" s="217"/>
      <c r="D25" s="28"/>
      <c r="E25" s="28"/>
      <c r="F25" s="288"/>
      <c r="G25" s="28"/>
      <c r="H25" s="20">
        <f t="shared" si="17"/>
        <v>0</v>
      </c>
      <c r="I25" s="28"/>
      <c r="J25" s="28"/>
      <c r="K25" s="30"/>
      <c r="L25" s="22">
        <f t="shared" si="14"/>
        <v>0</v>
      </c>
      <c r="M25" s="28"/>
      <c r="N25" s="28"/>
      <c r="O25" s="28"/>
      <c r="P25" s="20">
        <f t="shared" si="20"/>
        <v>0</v>
      </c>
      <c r="Q25" s="28"/>
      <c r="R25" s="28"/>
      <c r="S25" s="28"/>
      <c r="T25" s="20">
        <f t="shared" si="19"/>
        <v>0</v>
      </c>
      <c r="U25" s="144">
        <f t="shared" si="13"/>
        <v>0</v>
      </c>
    </row>
    <row r="26" spans="1:22" s="14" customFormat="1">
      <c r="A26" s="251"/>
      <c r="B26" s="24" t="s">
        <v>53</v>
      </c>
      <c r="C26" s="217"/>
      <c r="D26" s="28"/>
      <c r="E26" s="28"/>
      <c r="F26" s="288"/>
      <c r="G26" s="28"/>
      <c r="H26" s="20">
        <f t="shared" si="17"/>
        <v>0</v>
      </c>
      <c r="I26" s="28"/>
      <c r="J26" s="28"/>
      <c r="K26" s="28"/>
      <c r="L26" s="22">
        <f t="shared" si="14"/>
        <v>0</v>
      </c>
      <c r="M26" s="28"/>
      <c r="N26" s="28"/>
      <c r="O26" s="28"/>
      <c r="P26" s="20">
        <f t="shared" si="20"/>
        <v>0</v>
      </c>
      <c r="Q26" s="28"/>
      <c r="R26" s="28"/>
      <c r="S26" s="28"/>
      <c r="T26" s="20">
        <f t="shared" si="19"/>
        <v>0</v>
      </c>
      <c r="U26" s="144">
        <f t="shared" si="13"/>
        <v>0</v>
      </c>
    </row>
    <row r="27" spans="1:22" s="14" customFormat="1" ht="15.75" thickBot="1">
      <c r="A27" s="261"/>
      <c r="B27" s="189" t="s">
        <v>43</v>
      </c>
      <c r="C27" s="222"/>
      <c r="D27" s="190"/>
      <c r="E27" s="156"/>
      <c r="F27" s="302"/>
      <c r="G27" s="156"/>
      <c r="H27" s="155">
        <f>H11-H14</f>
        <v>49309.890000000014</v>
      </c>
      <c r="I27" s="156"/>
      <c r="J27" s="156"/>
      <c r="K27" s="156"/>
      <c r="L27" s="155">
        <f>L11-L14</f>
        <v>-9898.359999999986</v>
      </c>
      <c r="M27" s="157"/>
      <c r="N27" s="157"/>
      <c r="O27" s="156"/>
      <c r="P27" s="155">
        <f>P11-P14</f>
        <v>27907.770000000048</v>
      </c>
      <c r="Q27" s="156"/>
      <c r="R27" s="156"/>
      <c r="S27" s="156"/>
      <c r="T27" s="155">
        <f>T11-T14</f>
        <v>-38999.889999999956</v>
      </c>
      <c r="U27" s="158">
        <f t="shared" si="13"/>
        <v>28319.41000000012</v>
      </c>
      <c r="V27" s="133"/>
    </row>
  </sheetData>
  <mergeCells count="4">
    <mergeCell ref="A1:L1"/>
    <mergeCell ref="A2:L2"/>
    <mergeCell ref="A3:L3"/>
    <mergeCell ref="S3:W3"/>
  </mergeCells>
  <pageMargins left="0.7" right="0.7" top="0.75" bottom="0.75" header="0.3" footer="0.3"/>
  <pageSetup paperSize="9" scale="55" orientation="landscape" r:id="rId1"/>
  <colBreaks count="1" manualBreakCount="1">
    <brk id="22" max="1048575" man="1"/>
  </col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Normal="100" workbookViewId="0">
      <selection activeCell="E33" sqref="E33"/>
    </sheetView>
  </sheetViews>
  <sheetFormatPr defaultRowHeight="15"/>
  <cols>
    <col min="1" max="1" width="4.7109375" customWidth="1"/>
    <col min="2" max="2" width="40.5703125" customWidth="1"/>
    <col min="3" max="3" width="8.7109375" customWidth="1"/>
    <col min="4" max="5" width="9.28515625" bestFit="1" customWidth="1"/>
    <col min="6" max="11" width="9.42578125" bestFit="1" customWidth="1"/>
    <col min="12" max="12" width="9.5703125" bestFit="1" customWidth="1"/>
    <col min="13" max="13" width="9.42578125" customWidth="1"/>
    <col min="14" max="21" width="9.42578125" bestFit="1" customWidth="1"/>
    <col min="22" max="22" width="9.85546875" bestFit="1" customWidth="1"/>
    <col min="23" max="23" width="9.42578125" bestFit="1" customWidth="1"/>
  </cols>
  <sheetData>
    <row r="1" spans="1:23" s="13" customForma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1"/>
      <c r="S1" s="13" t="s">
        <v>94</v>
      </c>
    </row>
    <row r="2" spans="1:23" s="13" customFormat="1">
      <c r="A2" s="368" t="s">
        <v>139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1"/>
      <c r="S2" s="13" t="s">
        <v>95</v>
      </c>
    </row>
    <row r="3" spans="1:23" s="13" customFormat="1">
      <c r="A3" s="370" t="s">
        <v>105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65"/>
      <c r="S3" s="373" t="s">
        <v>138</v>
      </c>
      <c r="T3" s="373"/>
      <c r="U3" s="373"/>
      <c r="V3" s="373"/>
      <c r="W3" s="373"/>
    </row>
    <row r="4" spans="1:23" s="13" customFormat="1" ht="15.75" thickBot="1">
      <c r="B4" s="13" t="s">
        <v>92</v>
      </c>
      <c r="K4" s="13">
        <v>5734.6</v>
      </c>
    </row>
    <row r="5" spans="1:23" s="13" customFormat="1" ht="15.75" thickBot="1">
      <c r="A5" s="345"/>
      <c r="B5" s="339" t="s">
        <v>2</v>
      </c>
      <c r="C5" s="214" t="s">
        <v>3</v>
      </c>
      <c r="D5" s="178" t="s">
        <v>4</v>
      </c>
      <c r="E5" s="214" t="s">
        <v>3</v>
      </c>
      <c r="F5" s="178" t="s">
        <v>5</v>
      </c>
      <c r="G5" s="178" t="s">
        <v>6</v>
      </c>
      <c r="H5" s="180" t="s">
        <v>7</v>
      </c>
      <c r="I5" s="178" t="s">
        <v>8</v>
      </c>
      <c r="J5" s="178" t="s">
        <v>9</v>
      </c>
      <c r="K5" s="178" t="s">
        <v>10</v>
      </c>
      <c r="L5" s="179" t="s">
        <v>11</v>
      </c>
      <c r="M5" s="214" t="s">
        <v>3</v>
      </c>
      <c r="N5" s="178" t="s">
        <v>54</v>
      </c>
      <c r="O5" s="178" t="s">
        <v>55</v>
      </c>
      <c r="P5" s="178" t="s">
        <v>56</v>
      </c>
      <c r="Q5" s="179" t="s">
        <v>57</v>
      </c>
      <c r="R5" s="178" t="s">
        <v>63</v>
      </c>
      <c r="S5" s="178" t="s">
        <v>64</v>
      </c>
      <c r="T5" s="178" t="s">
        <v>65</v>
      </c>
      <c r="U5" s="179" t="s">
        <v>66</v>
      </c>
      <c r="V5" s="181" t="s">
        <v>71</v>
      </c>
    </row>
    <row r="6" spans="1:23" s="13" customFormat="1" ht="28.5" customHeight="1" thickBot="1">
      <c r="A6" s="97" t="s">
        <v>12</v>
      </c>
      <c r="B6" s="340" t="s">
        <v>13</v>
      </c>
      <c r="C6" s="215"/>
      <c r="D6" s="67">
        <f>SUM(D7:D10)</f>
        <v>82004.780000000013</v>
      </c>
      <c r="E6" s="215"/>
      <c r="F6" s="67">
        <f>SUM(F7:F10)</f>
        <v>82004.78</v>
      </c>
      <c r="G6" s="67">
        <f>SUM(G7:G10)</f>
        <v>82004.78</v>
      </c>
      <c r="H6" s="67">
        <f>SUM(H7:H10)</f>
        <v>246028.64</v>
      </c>
      <c r="I6" s="67">
        <f>I7+I8+I9</f>
        <v>82004.78</v>
      </c>
      <c r="J6" s="67">
        <f>J9+J8+J7</f>
        <v>82004.78</v>
      </c>
      <c r="K6" s="67">
        <f t="shared" ref="K6:U6" si="0">SUM(K7:K10)</f>
        <v>82004.78</v>
      </c>
      <c r="L6" s="67">
        <f t="shared" si="0"/>
        <v>246014.34000000005</v>
      </c>
      <c r="M6" s="215"/>
      <c r="N6" s="67">
        <f t="shared" si="0"/>
        <v>85330.847999999998</v>
      </c>
      <c r="O6" s="67">
        <f t="shared" si="0"/>
        <v>85330.847999999998</v>
      </c>
      <c r="P6" s="67">
        <f t="shared" si="0"/>
        <v>85330.847999999998</v>
      </c>
      <c r="Q6" s="67">
        <f t="shared" si="0"/>
        <v>255992.54400000002</v>
      </c>
      <c r="R6" s="67">
        <f t="shared" si="0"/>
        <v>85330.847999999998</v>
      </c>
      <c r="S6" s="67">
        <f t="shared" si="0"/>
        <v>85330.847999999998</v>
      </c>
      <c r="T6" s="67">
        <f t="shared" si="0"/>
        <v>85330.847999999998</v>
      </c>
      <c r="U6" s="67">
        <f t="shared" si="0"/>
        <v>255992.54400000002</v>
      </c>
      <c r="V6" s="96">
        <f t="shared" ref="V6:V11" si="1">H6+L6+Q6+U6</f>
        <v>1004028.0680000001</v>
      </c>
    </row>
    <row r="7" spans="1:23" s="13" customFormat="1">
      <c r="A7" s="346" t="s">
        <v>14</v>
      </c>
      <c r="B7" s="341" t="s">
        <v>15</v>
      </c>
      <c r="C7" s="216">
        <v>10.43</v>
      </c>
      <c r="D7" s="46">
        <f>C7*K4</f>
        <v>59811.878000000004</v>
      </c>
      <c r="E7" s="216">
        <v>9.3000000000000007</v>
      </c>
      <c r="F7" s="46">
        <f>E7*K4</f>
        <v>53331.780000000006</v>
      </c>
      <c r="G7" s="46">
        <f>F7</f>
        <v>53331.780000000006</v>
      </c>
      <c r="H7" s="98">
        <f>SUM(D7:G7)</f>
        <v>166484.73800000001</v>
      </c>
      <c r="I7" s="46">
        <f>G7</f>
        <v>53331.780000000006</v>
      </c>
      <c r="J7" s="46">
        <f>I7</f>
        <v>53331.780000000006</v>
      </c>
      <c r="K7" s="46">
        <f>J7</f>
        <v>53331.780000000006</v>
      </c>
      <c r="L7" s="85">
        <f>I7+J7+K7</f>
        <v>159995.34000000003</v>
      </c>
      <c r="M7" s="216">
        <v>9.8800000000000008</v>
      </c>
      <c r="N7" s="46">
        <f>M7*K4</f>
        <v>56657.848000000005</v>
      </c>
      <c r="O7" s="46">
        <f>N7</f>
        <v>56657.848000000005</v>
      </c>
      <c r="P7" s="46">
        <f>O7</f>
        <v>56657.848000000005</v>
      </c>
      <c r="Q7" s="85">
        <f>SUM(N7:P7)</f>
        <v>169973.54400000002</v>
      </c>
      <c r="R7" s="46">
        <f>P7</f>
        <v>56657.848000000005</v>
      </c>
      <c r="S7" s="46">
        <f>R7</f>
        <v>56657.848000000005</v>
      </c>
      <c r="T7" s="46">
        <f>S7</f>
        <v>56657.848000000005</v>
      </c>
      <c r="U7" s="85">
        <f>SUM(R7:T7)</f>
        <v>169973.54400000002</v>
      </c>
      <c r="V7" s="168">
        <f t="shared" si="1"/>
        <v>666427.16600000008</v>
      </c>
    </row>
    <row r="8" spans="1:23" s="13" customFormat="1">
      <c r="A8" s="347" t="s">
        <v>16</v>
      </c>
      <c r="B8" s="342" t="s">
        <v>17</v>
      </c>
      <c r="C8" s="217">
        <v>2.3199999999999998</v>
      </c>
      <c r="D8" s="25">
        <f>C8*K4</f>
        <v>13304.271999999999</v>
      </c>
      <c r="E8" s="217">
        <v>2.8</v>
      </c>
      <c r="F8" s="25">
        <f>E8*K4</f>
        <v>16056.88</v>
      </c>
      <c r="G8" s="25">
        <f>E8*K4</f>
        <v>16056.88</v>
      </c>
      <c r="H8" s="20">
        <f>SUM(D8:G8)</f>
        <v>45420.831999999995</v>
      </c>
      <c r="I8" s="25">
        <f>E8*K4</f>
        <v>16056.88</v>
      </c>
      <c r="J8" s="25">
        <f>E8*K4</f>
        <v>16056.88</v>
      </c>
      <c r="K8" s="25">
        <f>E8*K4</f>
        <v>16056.88</v>
      </c>
      <c r="L8" s="22">
        <f>I8+J8+K8</f>
        <v>48170.64</v>
      </c>
      <c r="M8" s="217">
        <v>2.8</v>
      </c>
      <c r="N8" s="25">
        <f>E8*K4</f>
        <v>16056.88</v>
      </c>
      <c r="O8" s="25">
        <f>E8*K4</f>
        <v>16056.88</v>
      </c>
      <c r="P8" s="25">
        <f>E8*K4</f>
        <v>16056.88</v>
      </c>
      <c r="Q8" s="22">
        <f t="shared" ref="Q8:Q10" si="2">SUM(N8:P8)</f>
        <v>48170.64</v>
      </c>
      <c r="R8" s="25">
        <f>E8*K4</f>
        <v>16056.88</v>
      </c>
      <c r="S8" s="25">
        <f>E8*K4</f>
        <v>16056.88</v>
      </c>
      <c r="T8" s="25">
        <f>E8*K4</f>
        <v>16056.88</v>
      </c>
      <c r="U8" s="22">
        <f t="shared" ref="U8:U10" si="3">SUM(R8:T8)</f>
        <v>48170.64</v>
      </c>
      <c r="V8" s="165">
        <f t="shared" si="1"/>
        <v>189932.75199999998</v>
      </c>
    </row>
    <row r="9" spans="1:23" s="13" customFormat="1">
      <c r="A9" s="347" t="s">
        <v>18</v>
      </c>
      <c r="B9" s="342" t="s">
        <v>30</v>
      </c>
      <c r="C9" s="217">
        <v>1.55</v>
      </c>
      <c r="D9" s="25">
        <f>C9*K4</f>
        <v>8888.630000000001</v>
      </c>
      <c r="E9" s="217">
        <v>2.2000000000000002</v>
      </c>
      <c r="F9" s="25">
        <f>E9*K4</f>
        <v>12616.120000000003</v>
      </c>
      <c r="G9" s="25">
        <f>E9*K4</f>
        <v>12616.120000000003</v>
      </c>
      <c r="H9" s="20">
        <f t="shared" ref="H9:H10" si="4">SUM(D9:G9)</f>
        <v>34123.070000000007</v>
      </c>
      <c r="I9" s="25">
        <f>E9*K4</f>
        <v>12616.120000000003</v>
      </c>
      <c r="J9" s="25">
        <f>E9*K4</f>
        <v>12616.120000000003</v>
      </c>
      <c r="K9" s="25">
        <f>E9*K4</f>
        <v>12616.120000000003</v>
      </c>
      <c r="L9" s="22">
        <f>I9+J9+K9</f>
        <v>37848.360000000008</v>
      </c>
      <c r="M9" s="217">
        <v>2.2000000000000002</v>
      </c>
      <c r="N9" s="25">
        <f>E9*K4</f>
        <v>12616.120000000003</v>
      </c>
      <c r="O9" s="25">
        <f>E9*K4</f>
        <v>12616.120000000003</v>
      </c>
      <c r="P9" s="25">
        <f>E9*K4</f>
        <v>12616.120000000003</v>
      </c>
      <c r="Q9" s="22">
        <f t="shared" si="2"/>
        <v>37848.360000000008</v>
      </c>
      <c r="R9" s="25">
        <f>E9*K4</f>
        <v>12616.120000000003</v>
      </c>
      <c r="S9" s="25">
        <f>E9*K4</f>
        <v>12616.120000000003</v>
      </c>
      <c r="T9" s="25">
        <f>E9*K4</f>
        <v>12616.120000000003</v>
      </c>
      <c r="U9" s="22">
        <f t="shared" si="3"/>
        <v>37848.360000000008</v>
      </c>
      <c r="V9" s="165">
        <f t="shared" si="1"/>
        <v>147668.15000000005</v>
      </c>
    </row>
    <row r="10" spans="1:23" s="13" customFormat="1">
      <c r="A10" s="347" t="s">
        <v>31</v>
      </c>
      <c r="B10" s="342" t="s">
        <v>19</v>
      </c>
      <c r="C10" s="217"/>
      <c r="D10" s="25">
        <f t="shared" ref="D10" si="5">C10*$K$4</f>
        <v>0</v>
      </c>
      <c r="E10" s="217"/>
      <c r="F10" s="25">
        <f t="shared" ref="F10" si="6">C10*$K$4</f>
        <v>0</v>
      </c>
      <c r="G10" s="25">
        <f t="shared" ref="G10" si="7">C10*$K$4</f>
        <v>0</v>
      </c>
      <c r="H10" s="20">
        <f t="shared" si="4"/>
        <v>0</v>
      </c>
      <c r="I10" s="25">
        <f t="shared" ref="I10" si="8">C10*$K$4</f>
        <v>0</v>
      </c>
      <c r="J10" s="25">
        <f t="shared" ref="J10" si="9">C10*$K$4</f>
        <v>0</v>
      </c>
      <c r="K10" s="25">
        <f>C10*$K$4</f>
        <v>0</v>
      </c>
      <c r="L10" s="22">
        <f>I10+J10+K10</f>
        <v>0</v>
      </c>
      <c r="M10" s="217"/>
      <c r="N10" s="25">
        <f>C10*$K$4</f>
        <v>0</v>
      </c>
      <c r="O10" s="25">
        <f>C10*$K$4</f>
        <v>0</v>
      </c>
      <c r="P10" s="25">
        <f>C10*$K$4</f>
        <v>0</v>
      </c>
      <c r="Q10" s="22">
        <f t="shared" si="2"/>
        <v>0</v>
      </c>
      <c r="R10" s="25">
        <f>C10*$K$4</f>
        <v>0</v>
      </c>
      <c r="S10" s="25">
        <f>C10*$K$4</f>
        <v>0</v>
      </c>
      <c r="T10" s="25">
        <f>C10*$K$4</f>
        <v>0</v>
      </c>
      <c r="U10" s="22">
        <f t="shared" si="3"/>
        <v>0</v>
      </c>
      <c r="V10" s="165">
        <f t="shared" si="1"/>
        <v>0</v>
      </c>
    </row>
    <row r="11" spans="1:23" s="13" customFormat="1">
      <c r="A11" s="347" t="s">
        <v>32</v>
      </c>
      <c r="B11" s="342" t="s">
        <v>20</v>
      </c>
      <c r="C11" s="217"/>
      <c r="D11" s="29">
        <v>72190.559999999998</v>
      </c>
      <c r="E11" s="217"/>
      <c r="F11" s="29">
        <v>69501.33</v>
      </c>
      <c r="G11" s="29">
        <v>66090.789999999994</v>
      </c>
      <c r="H11" s="55">
        <f>D11+F11+G11</f>
        <v>207782.68</v>
      </c>
      <c r="I11" s="29">
        <v>74144.45</v>
      </c>
      <c r="J11" s="29">
        <v>85710.11</v>
      </c>
      <c r="K11" s="29">
        <v>83760.39</v>
      </c>
      <c r="L11" s="56">
        <f>I11+J11+K11+K12</f>
        <v>252314.95</v>
      </c>
      <c r="M11" s="217"/>
      <c r="N11" s="29">
        <v>103942.48</v>
      </c>
      <c r="O11" s="29">
        <v>81548.850000000006</v>
      </c>
      <c r="P11" s="29">
        <v>87188.67</v>
      </c>
      <c r="Q11" s="56">
        <f>N11+O11+P11</f>
        <v>272680</v>
      </c>
      <c r="R11" s="29">
        <v>88318.43</v>
      </c>
      <c r="S11" s="29">
        <v>93786.98</v>
      </c>
      <c r="T11" s="29">
        <v>81889.53</v>
      </c>
      <c r="U11" s="56">
        <f>SUM(R11:T11)+T12</f>
        <v>274494.93999999994</v>
      </c>
      <c r="V11" s="166">
        <f t="shared" si="1"/>
        <v>1007272.57</v>
      </c>
    </row>
    <row r="12" spans="1:23" s="13" customFormat="1" ht="15.75" thickBot="1">
      <c r="A12" s="348"/>
      <c r="B12" s="343" t="s">
        <v>87</v>
      </c>
      <c r="C12" s="218"/>
      <c r="D12" s="34"/>
      <c r="E12" s="218"/>
      <c r="F12" s="34"/>
      <c r="G12" s="34"/>
      <c r="H12" s="66"/>
      <c r="I12" s="34"/>
      <c r="J12" s="34"/>
      <c r="K12" s="91">
        <v>8700</v>
      </c>
      <c r="L12" s="84"/>
      <c r="M12" s="218"/>
      <c r="N12" s="34"/>
      <c r="O12" s="34"/>
      <c r="P12" s="34"/>
      <c r="Q12" s="84"/>
      <c r="R12" s="34"/>
      <c r="S12" s="34"/>
      <c r="T12" s="91">
        <f>8700+1800</f>
        <v>10500</v>
      </c>
      <c r="U12" s="84"/>
      <c r="V12" s="167"/>
    </row>
    <row r="13" spans="1:23" s="13" customFormat="1" ht="15.75" thickBot="1">
      <c r="A13" s="93"/>
      <c r="B13" s="92" t="s">
        <v>21</v>
      </c>
      <c r="C13" s="219"/>
      <c r="D13" s="43">
        <f>D11-D6</f>
        <v>-9814.2200000000157</v>
      </c>
      <c r="E13" s="219"/>
      <c r="F13" s="43">
        <f t="shared" ref="F13:U13" si="10">F11-F6</f>
        <v>-12503.449999999997</v>
      </c>
      <c r="G13" s="43">
        <f t="shared" si="10"/>
        <v>-15913.990000000005</v>
      </c>
      <c r="H13" s="69">
        <f t="shared" si="10"/>
        <v>-38245.960000000021</v>
      </c>
      <c r="I13" s="43">
        <f t="shared" si="10"/>
        <v>-7860.3300000000017</v>
      </c>
      <c r="J13" s="43">
        <f t="shared" si="10"/>
        <v>3705.3300000000017</v>
      </c>
      <c r="K13" s="43">
        <f t="shared" si="10"/>
        <v>1755.6100000000006</v>
      </c>
      <c r="L13" s="69">
        <f t="shared" si="10"/>
        <v>6300.6099999999569</v>
      </c>
      <c r="M13" s="219"/>
      <c r="N13" s="43">
        <f t="shared" si="10"/>
        <v>18611.631999999998</v>
      </c>
      <c r="O13" s="43">
        <f t="shared" si="10"/>
        <v>-3781.9979999999923</v>
      </c>
      <c r="P13" s="43">
        <f t="shared" si="10"/>
        <v>1857.8220000000001</v>
      </c>
      <c r="Q13" s="69">
        <f t="shared" si="10"/>
        <v>16687.455999999976</v>
      </c>
      <c r="R13" s="43">
        <f t="shared" si="10"/>
        <v>2987.5819999999949</v>
      </c>
      <c r="S13" s="43">
        <f t="shared" si="10"/>
        <v>8456.1319999999978</v>
      </c>
      <c r="T13" s="43">
        <f t="shared" si="10"/>
        <v>-3441.3179999999993</v>
      </c>
      <c r="U13" s="69">
        <f t="shared" si="10"/>
        <v>18502.395999999921</v>
      </c>
      <c r="V13" s="79">
        <f t="shared" ref="V13:V27" si="11">H13+L13+Q13+U13</f>
        <v>3244.5019999998331</v>
      </c>
    </row>
    <row r="14" spans="1:23" s="13" customFormat="1" ht="30.75" customHeight="1" thickBot="1">
      <c r="A14" s="97" t="s">
        <v>22</v>
      </c>
      <c r="B14" s="340" t="s">
        <v>23</v>
      </c>
      <c r="C14" s="219"/>
      <c r="D14" s="69">
        <f>SUM(D15:D23)</f>
        <v>58987.5</v>
      </c>
      <c r="E14" s="219"/>
      <c r="F14" s="69">
        <f>SUM(F15:F23)</f>
        <v>63711.874000000003</v>
      </c>
      <c r="G14" s="69">
        <f>SUM(G15:G23)</f>
        <v>86597.874000000011</v>
      </c>
      <c r="H14" s="67">
        <f>SUM(D14:G14)</f>
        <v>209297.24800000002</v>
      </c>
      <c r="I14" s="69">
        <f>SUM(I15:I23)</f>
        <v>86357.874000000011</v>
      </c>
      <c r="J14" s="69">
        <f>SUM(J15:J23)</f>
        <v>67973.874000000011</v>
      </c>
      <c r="K14" s="69">
        <f>SUM(K15:K23)</f>
        <v>62298.874000000003</v>
      </c>
      <c r="L14" s="69">
        <f t="shared" ref="L14:L26" si="12">I14+J14+K14</f>
        <v>216630.62200000003</v>
      </c>
      <c r="M14" s="219"/>
      <c r="N14" s="69">
        <f>SUM(N15:N23)</f>
        <v>68867.874000000011</v>
      </c>
      <c r="O14" s="69">
        <f>SUM(O15:O23)</f>
        <v>131483.87400000001</v>
      </c>
      <c r="P14" s="69">
        <f>SUM(P15:P23)</f>
        <v>69537.874000000011</v>
      </c>
      <c r="Q14" s="67">
        <f>SUM(N14:P14)</f>
        <v>269889.62200000003</v>
      </c>
      <c r="R14" s="69">
        <f>SUM(R15:R23)</f>
        <v>75915.874000000011</v>
      </c>
      <c r="S14" s="69">
        <f>SUM(S15:S23)</f>
        <v>94555.874000000011</v>
      </c>
      <c r="T14" s="69">
        <f>SUM(T15:T23)</f>
        <v>68073.874000000011</v>
      </c>
      <c r="U14" s="67">
        <f>SUM(R14:T14)</f>
        <v>238545.62200000003</v>
      </c>
      <c r="V14" s="96">
        <f t="shared" si="11"/>
        <v>934363.11400000006</v>
      </c>
    </row>
    <row r="15" spans="1:23" s="13" customFormat="1">
      <c r="A15" s="346" t="s">
        <v>24</v>
      </c>
      <c r="B15" s="341" t="s">
        <v>17</v>
      </c>
      <c r="C15" s="216">
        <v>2.3199999999999998</v>
      </c>
      <c r="D15" s="46">
        <f t="shared" ref="D15:D21" si="13">C15*$K$4</f>
        <v>13304.271999999999</v>
      </c>
      <c r="E15" s="216">
        <v>2.8</v>
      </c>
      <c r="F15" s="25">
        <f>E15*K4</f>
        <v>16056.88</v>
      </c>
      <c r="G15" s="25">
        <f>E15*K4</f>
        <v>16056.88</v>
      </c>
      <c r="H15" s="98">
        <f>SUM(D15:G15)</f>
        <v>45420.831999999995</v>
      </c>
      <c r="I15" s="25">
        <f>E15*K4</f>
        <v>16056.88</v>
      </c>
      <c r="J15" s="25">
        <f>E15*K4</f>
        <v>16056.88</v>
      </c>
      <c r="K15" s="25">
        <f>E15*K4</f>
        <v>16056.88</v>
      </c>
      <c r="L15" s="85">
        <f t="shared" si="12"/>
        <v>48170.64</v>
      </c>
      <c r="M15" s="216">
        <v>2.8</v>
      </c>
      <c r="N15" s="25">
        <f>E15*K4</f>
        <v>16056.88</v>
      </c>
      <c r="O15" s="25">
        <f>E15*K4</f>
        <v>16056.88</v>
      </c>
      <c r="P15" s="25">
        <f>E15*K4</f>
        <v>16056.88</v>
      </c>
      <c r="Q15" s="98">
        <f>SUM(N15:P15)</f>
        <v>48170.64</v>
      </c>
      <c r="R15" s="25">
        <f>E15*K4</f>
        <v>16056.88</v>
      </c>
      <c r="S15" s="25">
        <f>E15*K4</f>
        <v>16056.88</v>
      </c>
      <c r="T15" s="25">
        <f>E15*K4</f>
        <v>16056.88</v>
      </c>
      <c r="U15" s="98">
        <f>SUM(R15:T15)</f>
        <v>48170.64</v>
      </c>
      <c r="V15" s="168">
        <f t="shared" si="11"/>
        <v>189932.75199999998</v>
      </c>
    </row>
    <row r="16" spans="1:23" s="13" customFormat="1">
      <c r="A16" s="347" t="s">
        <v>25</v>
      </c>
      <c r="B16" s="342" t="s">
        <v>88</v>
      </c>
      <c r="C16" s="217">
        <v>2.7</v>
      </c>
      <c r="D16" s="25">
        <f t="shared" si="13"/>
        <v>15483.420000000002</v>
      </c>
      <c r="E16" s="217">
        <v>2.99</v>
      </c>
      <c r="F16" s="25">
        <f>E16*K4</f>
        <v>17146.454000000002</v>
      </c>
      <c r="G16" s="25">
        <f>F16</f>
        <v>17146.454000000002</v>
      </c>
      <c r="H16" s="20">
        <f>SUM(D16:G16)</f>
        <v>49779.317999999999</v>
      </c>
      <c r="I16" s="25">
        <f>G16</f>
        <v>17146.454000000002</v>
      </c>
      <c r="J16" s="25">
        <f>I16</f>
        <v>17146.454000000002</v>
      </c>
      <c r="K16" s="25">
        <f>J16</f>
        <v>17146.454000000002</v>
      </c>
      <c r="L16" s="22">
        <f t="shared" si="12"/>
        <v>51439.362000000008</v>
      </c>
      <c r="M16" s="217">
        <v>2.99</v>
      </c>
      <c r="N16" s="25">
        <f>K16</f>
        <v>17146.454000000002</v>
      </c>
      <c r="O16" s="25">
        <f>N16</f>
        <v>17146.454000000002</v>
      </c>
      <c r="P16" s="25">
        <f>O16</f>
        <v>17146.454000000002</v>
      </c>
      <c r="Q16" s="20">
        <f>SUM(N16:P16)</f>
        <v>51439.362000000008</v>
      </c>
      <c r="R16" s="25">
        <f>P16</f>
        <v>17146.454000000002</v>
      </c>
      <c r="S16" s="25">
        <f>R16</f>
        <v>17146.454000000002</v>
      </c>
      <c r="T16" s="25">
        <f>S16</f>
        <v>17146.454000000002</v>
      </c>
      <c r="U16" s="20">
        <f>SUM(R16:T16)</f>
        <v>51439.362000000008</v>
      </c>
      <c r="V16" s="165">
        <f t="shared" si="11"/>
        <v>204097.40400000004</v>
      </c>
    </row>
    <row r="17" spans="1:23" s="13" customFormat="1" ht="15.75" thickBot="1">
      <c r="A17" s="348" t="s">
        <v>27</v>
      </c>
      <c r="B17" s="343" t="s">
        <v>30</v>
      </c>
      <c r="C17" s="218">
        <v>1.55</v>
      </c>
      <c r="D17" s="34">
        <f t="shared" si="13"/>
        <v>8888.630000000001</v>
      </c>
      <c r="E17" s="218">
        <v>2.2000000000000002</v>
      </c>
      <c r="F17" s="25">
        <f>E17*K4</f>
        <v>12616.120000000003</v>
      </c>
      <c r="G17" s="25">
        <f>E17*K4</f>
        <v>12616.120000000003</v>
      </c>
      <c r="H17" s="66">
        <f t="shared" ref="H17:H26" si="14">SUM(D17:G17)</f>
        <v>34123.070000000007</v>
      </c>
      <c r="I17" s="25">
        <f>E17*K4</f>
        <v>12616.120000000003</v>
      </c>
      <c r="J17" s="25">
        <f>E17*K4</f>
        <v>12616.120000000003</v>
      </c>
      <c r="K17" s="25">
        <f>E17*K4</f>
        <v>12616.120000000003</v>
      </c>
      <c r="L17" s="84">
        <f t="shared" si="12"/>
        <v>37848.360000000008</v>
      </c>
      <c r="M17" s="218">
        <v>2.2000000000000002</v>
      </c>
      <c r="N17" s="25">
        <f>E17*K4</f>
        <v>12616.120000000003</v>
      </c>
      <c r="O17" s="25">
        <f>E17*K4</f>
        <v>12616.120000000003</v>
      </c>
      <c r="P17" s="25">
        <f>E17*K4</f>
        <v>12616.120000000003</v>
      </c>
      <c r="Q17" s="66">
        <f t="shared" ref="Q17:Q26" si="15">SUM(N17:P17)</f>
        <v>37848.360000000008</v>
      </c>
      <c r="R17" s="25">
        <f>E17*K4</f>
        <v>12616.120000000003</v>
      </c>
      <c r="S17" s="25">
        <f>E17*K4</f>
        <v>12616.120000000003</v>
      </c>
      <c r="T17" s="25">
        <f>E17*K4</f>
        <v>12616.120000000003</v>
      </c>
      <c r="U17" s="66">
        <f t="shared" ref="U17:U26" si="16">SUM(R17:T17)</f>
        <v>37848.360000000008</v>
      </c>
      <c r="V17" s="167">
        <f t="shared" si="11"/>
        <v>147668.15000000005</v>
      </c>
    </row>
    <row r="18" spans="1:23" s="13" customFormat="1" ht="15.75" thickBot="1">
      <c r="A18" s="93" t="s">
        <v>28</v>
      </c>
      <c r="B18" s="92" t="s">
        <v>40</v>
      </c>
      <c r="C18" s="219"/>
      <c r="D18" s="38">
        <v>15978</v>
      </c>
      <c r="E18" s="219"/>
      <c r="F18" s="38">
        <v>2409</v>
      </c>
      <c r="G18" s="38">
        <v>25295</v>
      </c>
      <c r="H18" s="67">
        <f t="shared" si="14"/>
        <v>43682</v>
      </c>
      <c r="I18" s="38">
        <v>25055</v>
      </c>
      <c r="J18" s="38">
        <v>6671</v>
      </c>
      <c r="K18" s="38">
        <v>996</v>
      </c>
      <c r="L18" s="69">
        <f t="shared" si="12"/>
        <v>32722</v>
      </c>
      <c r="M18" s="219"/>
      <c r="N18" s="38">
        <v>7565</v>
      </c>
      <c r="O18" s="120">
        <v>70181</v>
      </c>
      <c r="P18" s="120">
        <v>8235</v>
      </c>
      <c r="Q18" s="67">
        <f t="shared" si="15"/>
        <v>85981</v>
      </c>
      <c r="R18" s="38">
        <v>14613</v>
      </c>
      <c r="S18" s="38">
        <v>33253</v>
      </c>
      <c r="T18" s="38">
        <v>6771</v>
      </c>
      <c r="U18" s="67">
        <f t="shared" si="16"/>
        <v>54637</v>
      </c>
      <c r="V18" s="79">
        <f t="shared" si="11"/>
        <v>217022</v>
      </c>
      <c r="W18" s="121"/>
    </row>
    <row r="19" spans="1:23" s="13" customFormat="1">
      <c r="A19" s="346" t="s">
        <v>33</v>
      </c>
      <c r="B19" s="341" t="s">
        <v>39</v>
      </c>
      <c r="C19" s="216">
        <v>0.81</v>
      </c>
      <c r="D19" s="46">
        <f>C19*K4</f>
        <v>4645.0260000000007</v>
      </c>
      <c r="E19" s="216">
        <v>1</v>
      </c>
      <c r="F19" s="46">
        <f>E19*K4</f>
        <v>5734.6</v>
      </c>
      <c r="G19" s="46">
        <f>F19</f>
        <v>5734.6</v>
      </c>
      <c r="H19" s="98">
        <f t="shared" si="14"/>
        <v>16115.226000000001</v>
      </c>
      <c r="I19" s="46">
        <f>G19</f>
        <v>5734.6</v>
      </c>
      <c r="J19" s="46">
        <f>I19</f>
        <v>5734.6</v>
      </c>
      <c r="K19" s="46">
        <f>J19</f>
        <v>5734.6</v>
      </c>
      <c r="L19" s="85">
        <f t="shared" si="12"/>
        <v>17203.800000000003</v>
      </c>
      <c r="M19" s="216">
        <v>1</v>
      </c>
      <c r="N19" s="46">
        <f>K19</f>
        <v>5734.6</v>
      </c>
      <c r="O19" s="46">
        <f>N19</f>
        <v>5734.6</v>
      </c>
      <c r="P19" s="46">
        <f>O19</f>
        <v>5734.6</v>
      </c>
      <c r="Q19" s="98">
        <f t="shared" si="15"/>
        <v>17203.800000000003</v>
      </c>
      <c r="R19" s="46">
        <f>P19</f>
        <v>5734.6</v>
      </c>
      <c r="S19" s="46">
        <f>R19</f>
        <v>5734.6</v>
      </c>
      <c r="T19" s="46">
        <f>S19</f>
        <v>5734.6</v>
      </c>
      <c r="U19" s="98">
        <f t="shared" si="16"/>
        <v>17203.800000000003</v>
      </c>
      <c r="V19" s="168">
        <f t="shared" si="11"/>
        <v>67726.626000000018</v>
      </c>
      <c r="W19" s="121"/>
    </row>
    <row r="20" spans="1:23" s="13" customFormat="1">
      <c r="A20" s="347" t="s">
        <v>34</v>
      </c>
      <c r="B20" s="342" t="s">
        <v>41</v>
      </c>
      <c r="C20" s="217">
        <v>0.12</v>
      </c>
      <c r="D20" s="25">
        <f t="shared" si="13"/>
        <v>688.15200000000004</v>
      </c>
      <c r="E20" s="217">
        <v>0.2</v>
      </c>
      <c r="F20" s="25">
        <f>E20*K4</f>
        <v>1146.92</v>
      </c>
      <c r="G20" s="25">
        <f>F20</f>
        <v>1146.92</v>
      </c>
      <c r="H20" s="20">
        <f t="shared" si="14"/>
        <v>2982.192</v>
      </c>
      <c r="I20" s="25">
        <f>G20</f>
        <v>1146.92</v>
      </c>
      <c r="J20" s="25">
        <f>I20</f>
        <v>1146.92</v>
      </c>
      <c r="K20" s="25">
        <f>J20</f>
        <v>1146.92</v>
      </c>
      <c r="L20" s="22">
        <f t="shared" si="12"/>
        <v>3440.76</v>
      </c>
      <c r="M20" s="217">
        <v>0.2</v>
      </c>
      <c r="N20" s="25">
        <f>K20</f>
        <v>1146.92</v>
      </c>
      <c r="O20" s="25">
        <f>N20</f>
        <v>1146.92</v>
      </c>
      <c r="P20" s="25">
        <f>O20</f>
        <v>1146.92</v>
      </c>
      <c r="Q20" s="20">
        <f t="shared" si="15"/>
        <v>3440.76</v>
      </c>
      <c r="R20" s="25">
        <f>P20</f>
        <v>1146.92</v>
      </c>
      <c r="S20" s="25">
        <f>R20</f>
        <v>1146.92</v>
      </c>
      <c r="T20" s="25">
        <f>S20</f>
        <v>1146.92</v>
      </c>
      <c r="U20" s="20">
        <f t="shared" si="16"/>
        <v>3440.76</v>
      </c>
      <c r="V20" s="165">
        <f t="shared" si="11"/>
        <v>13304.472</v>
      </c>
      <c r="W20" s="121"/>
    </row>
    <row r="21" spans="1:23" s="13" customFormat="1">
      <c r="A21" s="348" t="s">
        <v>35</v>
      </c>
      <c r="B21" s="342" t="s">
        <v>29</v>
      </c>
      <c r="C21" s="217"/>
      <c r="D21" s="25">
        <f t="shared" si="13"/>
        <v>0</v>
      </c>
      <c r="E21" s="217"/>
      <c r="F21" s="25">
        <f t="shared" ref="F21" si="17">C21*$K$4</f>
        <v>0</v>
      </c>
      <c r="G21" s="25">
        <f t="shared" ref="G21" si="18">C21*$K$4</f>
        <v>0</v>
      </c>
      <c r="H21" s="20">
        <f t="shared" si="14"/>
        <v>0</v>
      </c>
      <c r="I21" s="25">
        <f t="shared" ref="I21" si="19">C21*$K$4</f>
        <v>0</v>
      </c>
      <c r="J21" s="25">
        <f t="shared" ref="J21" si="20">C21*$K$4</f>
        <v>0</v>
      </c>
      <c r="K21" s="25">
        <v>0</v>
      </c>
      <c r="L21" s="22">
        <f t="shared" si="12"/>
        <v>0</v>
      </c>
      <c r="M21" s="217"/>
      <c r="N21" s="25">
        <v>0</v>
      </c>
      <c r="O21" s="25">
        <v>0</v>
      </c>
      <c r="P21" s="25">
        <v>0</v>
      </c>
      <c r="Q21" s="20">
        <f t="shared" si="15"/>
        <v>0</v>
      </c>
      <c r="R21" s="25">
        <v>0</v>
      </c>
      <c r="S21" s="25">
        <v>0</v>
      </c>
      <c r="T21" s="25">
        <v>0</v>
      </c>
      <c r="U21" s="20">
        <f t="shared" si="16"/>
        <v>0</v>
      </c>
      <c r="V21" s="165">
        <f t="shared" si="11"/>
        <v>0</v>
      </c>
    </row>
    <row r="22" spans="1:23" s="13" customFormat="1" ht="15.75" thickBot="1">
      <c r="A22" s="348" t="s">
        <v>124</v>
      </c>
      <c r="B22" s="278" t="s">
        <v>123</v>
      </c>
      <c r="C22" s="307"/>
      <c r="D22" s="75"/>
      <c r="E22" s="307">
        <v>1.5</v>
      </c>
      <c r="F22" s="75">
        <f>E22*K4</f>
        <v>8601.9000000000015</v>
      </c>
      <c r="G22" s="75">
        <f>F22</f>
        <v>8601.9000000000015</v>
      </c>
      <c r="H22" s="124">
        <f>G22+F22+D22</f>
        <v>17203.800000000003</v>
      </c>
      <c r="I22" s="75">
        <f>G22</f>
        <v>8601.9000000000015</v>
      </c>
      <c r="J22" s="75">
        <f>I22</f>
        <v>8601.9000000000015</v>
      </c>
      <c r="K22" s="75">
        <f>J22</f>
        <v>8601.9000000000015</v>
      </c>
      <c r="L22" s="279">
        <f>K22+J22+I22</f>
        <v>25805.700000000004</v>
      </c>
      <c r="M22" s="307">
        <v>1.5</v>
      </c>
      <c r="N22" s="75">
        <f>K22</f>
        <v>8601.9000000000015</v>
      </c>
      <c r="O22" s="75">
        <f>N22</f>
        <v>8601.9000000000015</v>
      </c>
      <c r="P22" s="75">
        <f>O22</f>
        <v>8601.9000000000015</v>
      </c>
      <c r="Q22" s="124">
        <f>P22+O22+N22</f>
        <v>25805.700000000004</v>
      </c>
      <c r="R22" s="75">
        <f>P22</f>
        <v>8601.9000000000015</v>
      </c>
      <c r="S22" s="75">
        <f>R22</f>
        <v>8601.9000000000015</v>
      </c>
      <c r="T22" s="75">
        <f>S22</f>
        <v>8601.9000000000015</v>
      </c>
      <c r="U22" s="124">
        <f>T22+S22+R22</f>
        <v>25805.700000000004</v>
      </c>
      <c r="V22" s="280">
        <f t="shared" si="11"/>
        <v>94620.900000000023</v>
      </c>
    </row>
    <row r="23" spans="1:23" s="13" customFormat="1" ht="15.75" thickBot="1">
      <c r="A23" s="93" t="s">
        <v>125</v>
      </c>
      <c r="B23" s="344" t="s">
        <v>90</v>
      </c>
      <c r="C23" s="338"/>
      <c r="D23" s="43">
        <f>SUM(D25:D26)</f>
        <v>0</v>
      </c>
      <c r="E23" s="219"/>
      <c r="F23" s="43">
        <f>SUM(F25:F26)</f>
        <v>0</v>
      </c>
      <c r="G23" s="43">
        <f>SUM(G25:G26)</f>
        <v>0</v>
      </c>
      <c r="H23" s="67">
        <f t="shared" si="14"/>
        <v>0</v>
      </c>
      <c r="I23" s="43">
        <f>SUM(I25:I26)</f>
        <v>0</v>
      </c>
      <c r="J23" s="43">
        <f>SUM(J25:J26)</f>
        <v>0</v>
      </c>
      <c r="K23" s="43">
        <f>SUM(K25:K26)</f>
        <v>0</v>
      </c>
      <c r="L23" s="69">
        <f t="shared" si="12"/>
        <v>0</v>
      </c>
      <c r="M23" s="219"/>
      <c r="N23" s="43">
        <f>SUM(N25:N26)</f>
        <v>0</v>
      </c>
      <c r="O23" s="43">
        <f>SUM(O25:O26)</f>
        <v>0</v>
      </c>
      <c r="P23" s="43">
        <f>SUM(P25:P26)</f>
        <v>0</v>
      </c>
      <c r="Q23" s="67">
        <f t="shared" si="15"/>
        <v>0</v>
      </c>
      <c r="R23" s="43">
        <f>SUM(R25:R26)</f>
        <v>0</v>
      </c>
      <c r="S23" s="43">
        <f>SUM(S25:S26)</f>
        <v>0</v>
      </c>
      <c r="T23" s="43">
        <f>SUM(T25:T26)</f>
        <v>0</v>
      </c>
      <c r="U23" s="67">
        <f t="shared" si="16"/>
        <v>0</v>
      </c>
      <c r="V23" s="79">
        <f t="shared" si="11"/>
        <v>0</v>
      </c>
    </row>
    <row r="24" spans="1:23" s="13" customFormat="1">
      <c r="A24" s="346"/>
      <c r="B24" s="341" t="s">
        <v>44</v>
      </c>
      <c r="C24" s="216"/>
      <c r="D24" s="46"/>
      <c r="E24" s="216"/>
      <c r="F24" s="46"/>
      <c r="G24" s="46"/>
      <c r="H24" s="98">
        <f t="shared" si="14"/>
        <v>0</v>
      </c>
      <c r="I24" s="46"/>
      <c r="J24" s="46"/>
      <c r="K24" s="46"/>
      <c r="L24" s="85">
        <f t="shared" si="12"/>
        <v>0</v>
      </c>
      <c r="M24" s="216"/>
      <c r="N24" s="46"/>
      <c r="O24" s="46"/>
      <c r="P24" s="46"/>
      <c r="Q24" s="98">
        <f t="shared" si="15"/>
        <v>0</v>
      </c>
      <c r="R24" s="46"/>
      <c r="S24" s="46"/>
      <c r="T24" s="46"/>
      <c r="U24" s="98">
        <f t="shared" si="16"/>
        <v>0</v>
      </c>
      <c r="V24" s="168">
        <f t="shared" si="11"/>
        <v>0</v>
      </c>
    </row>
    <row r="25" spans="1:23" s="13" customFormat="1">
      <c r="A25" s="347"/>
      <c r="B25" s="342" t="s">
        <v>53</v>
      </c>
      <c r="C25" s="217"/>
      <c r="D25" s="25"/>
      <c r="E25" s="217"/>
      <c r="F25" s="25"/>
      <c r="G25" s="25"/>
      <c r="H25" s="20">
        <f t="shared" si="14"/>
        <v>0</v>
      </c>
      <c r="I25" s="25"/>
      <c r="J25" s="25"/>
      <c r="K25" s="25"/>
      <c r="L25" s="22">
        <f t="shared" si="12"/>
        <v>0</v>
      </c>
      <c r="M25" s="217"/>
      <c r="N25" s="25"/>
      <c r="O25" s="25"/>
      <c r="P25" s="29"/>
      <c r="Q25" s="20">
        <f t="shared" si="15"/>
        <v>0</v>
      </c>
      <c r="R25" s="25"/>
      <c r="S25" s="25"/>
      <c r="T25" s="29"/>
      <c r="U25" s="20">
        <f t="shared" si="16"/>
        <v>0</v>
      </c>
      <c r="V25" s="165">
        <f t="shared" si="11"/>
        <v>0</v>
      </c>
    </row>
    <row r="26" spans="1:23" s="13" customFormat="1">
      <c r="A26" s="347"/>
      <c r="B26" s="342" t="s">
        <v>91</v>
      </c>
      <c r="C26" s="217"/>
      <c r="D26" s="25"/>
      <c r="E26" s="217"/>
      <c r="F26" s="25"/>
      <c r="G26" s="25"/>
      <c r="H26" s="20">
        <f t="shared" si="14"/>
        <v>0</v>
      </c>
      <c r="I26" s="25"/>
      <c r="J26" s="25"/>
      <c r="K26" s="25"/>
      <c r="L26" s="22">
        <f t="shared" si="12"/>
        <v>0</v>
      </c>
      <c r="M26" s="217"/>
      <c r="N26" s="25"/>
      <c r="O26" s="25"/>
      <c r="P26" s="25"/>
      <c r="Q26" s="20">
        <f t="shared" si="15"/>
        <v>0</v>
      </c>
      <c r="R26" s="25"/>
      <c r="S26" s="25"/>
      <c r="T26" s="25"/>
      <c r="U26" s="20">
        <f t="shared" si="16"/>
        <v>0</v>
      </c>
      <c r="V26" s="165">
        <f t="shared" si="11"/>
        <v>0</v>
      </c>
    </row>
    <row r="27" spans="1:23" s="13" customFormat="1" ht="15.75" thickBot="1">
      <c r="A27" s="349"/>
      <c r="B27" s="195" t="s">
        <v>43</v>
      </c>
      <c r="C27" s="220"/>
      <c r="D27" s="153"/>
      <c r="E27" s="220"/>
      <c r="F27" s="154"/>
      <c r="G27" s="154"/>
      <c r="H27" s="155">
        <f>H11-H14</f>
        <v>-1514.5680000000284</v>
      </c>
      <c r="I27" s="154"/>
      <c r="J27" s="154"/>
      <c r="K27" s="154"/>
      <c r="L27" s="155">
        <f>L11-L14</f>
        <v>35684.32799999998</v>
      </c>
      <c r="M27" s="220"/>
      <c r="N27" s="157"/>
      <c r="O27" s="157"/>
      <c r="P27" s="154"/>
      <c r="Q27" s="155">
        <f>Q11-Q14</f>
        <v>2790.3779999999679</v>
      </c>
      <c r="R27" s="154"/>
      <c r="S27" s="154"/>
      <c r="T27" s="154"/>
      <c r="U27" s="155">
        <f>U11-U14</f>
        <v>35949.317999999912</v>
      </c>
      <c r="V27" s="170">
        <f t="shared" si="11"/>
        <v>72909.455999999831</v>
      </c>
      <c r="W27" s="126"/>
    </row>
    <row r="28" spans="1:23" s="13" customFormat="1">
      <c r="D28" s="50"/>
      <c r="E28" s="50"/>
      <c r="O28" s="50"/>
    </row>
  </sheetData>
  <mergeCells count="4">
    <mergeCell ref="A1:L1"/>
    <mergeCell ref="A2:L2"/>
    <mergeCell ref="A3:L3"/>
    <mergeCell ref="S3:W3"/>
  </mergeCells>
  <pageMargins left="0" right="0" top="0.74803149606299213" bottom="0.74803149606299213" header="0.31496062992125984" footer="0.31496062992125984"/>
  <pageSetup paperSize="9" scale="5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zoomScaleNormal="100" workbookViewId="0">
      <selection activeCell="N35" sqref="N35"/>
    </sheetView>
  </sheetViews>
  <sheetFormatPr defaultRowHeight="15"/>
  <cols>
    <col min="1" max="1" width="4.140625" style="5" customWidth="1"/>
    <col min="2" max="2" width="40.5703125" style="5" customWidth="1"/>
    <col min="3" max="3" width="10.42578125" style="5" customWidth="1"/>
    <col min="4" max="5" width="11.42578125" style="5" customWidth="1"/>
    <col min="6" max="7" width="9.28515625" style="5" customWidth="1"/>
    <col min="8" max="8" width="9.5703125" style="5" customWidth="1"/>
    <col min="9" max="13" width="9.140625" style="5" customWidth="1"/>
    <col min="14" max="14" width="8.28515625" style="5" customWidth="1"/>
    <col min="15" max="15" width="8.140625" style="5" customWidth="1"/>
    <col min="16" max="23" width="9.140625" style="5" customWidth="1"/>
    <col min="24" max="16384" width="9.140625" style="5"/>
  </cols>
  <sheetData>
    <row r="1" spans="1:22" s="13" customForma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1"/>
      <c r="R1" s="13" t="s">
        <v>94</v>
      </c>
    </row>
    <row r="2" spans="1:22" s="13" customFormat="1">
      <c r="A2" s="368" t="s">
        <v>139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1"/>
      <c r="R2" s="13" t="s">
        <v>95</v>
      </c>
    </row>
    <row r="3" spans="1:22" s="13" customFormat="1">
      <c r="A3" s="374" t="s">
        <v>109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63"/>
      <c r="R3" s="373" t="s">
        <v>138</v>
      </c>
      <c r="S3" s="373"/>
      <c r="T3" s="373"/>
      <c r="U3" s="373"/>
      <c r="V3" s="373"/>
    </row>
    <row r="4" spans="1:22" s="13" customFormat="1">
      <c r="B4" s="13" t="s">
        <v>36</v>
      </c>
      <c r="K4" s="13">
        <v>4384.3999999999996</v>
      </c>
    </row>
    <row r="5" spans="1:22" s="13" customFormat="1" ht="15.75" thickBot="1">
      <c r="A5" s="33"/>
      <c r="B5" s="86" t="s">
        <v>2</v>
      </c>
      <c r="C5" s="88" t="s">
        <v>3</v>
      </c>
      <c r="D5" s="86" t="s">
        <v>4</v>
      </c>
      <c r="E5" s="299" t="s">
        <v>3</v>
      </c>
      <c r="F5" s="86" t="s">
        <v>5</v>
      </c>
      <c r="G5" s="86" t="s">
        <v>6</v>
      </c>
      <c r="H5" s="117" t="s">
        <v>7</v>
      </c>
      <c r="I5" s="87" t="s">
        <v>8</v>
      </c>
      <c r="J5" s="86" t="s">
        <v>9</v>
      </c>
      <c r="K5" s="86" t="s">
        <v>10</v>
      </c>
      <c r="L5" s="88" t="s">
        <v>11</v>
      </c>
      <c r="M5" s="299" t="s">
        <v>3</v>
      </c>
      <c r="N5" s="87" t="s">
        <v>54</v>
      </c>
      <c r="O5" s="87" t="s">
        <v>55</v>
      </c>
      <c r="P5" s="87" t="s">
        <v>56</v>
      </c>
      <c r="Q5" s="88" t="s">
        <v>57</v>
      </c>
      <c r="R5" s="87" t="s">
        <v>63</v>
      </c>
      <c r="S5" s="87" t="s">
        <v>64</v>
      </c>
      <c r="T5" s="87" t="s">
        <v>65</v>
      </c>
      <c r="U5" s="88" t="s">
        <v>66</v>
      </c>
      <c r="V5" s="81" t="s">
        <v>71</v>
      </c>
    </row>
    <row r="6" spans="1:22" s="13" customFormat="1" ht="28.5" customHeight="1" thickBot="1">
      <c r="A6" s="97" t="s">
        <v>12</v>
      </c>
      <c r="B6" s="95" t="s">
        <v>13</v>
      </c>
      <c r="C6" s="67"/>
      <c r="D6" s="67">
        <f>D7+D8+D9+D10</f>
        <v>72430.287999999986</v>
      </c>
      <c r="E6" s="300"/>
      <c r="F6" s="67">
        <f>SUM(F7:F10)</f>
        <v>72430.288</v>
      </c>
      <c r="G6" s="67">
        <f>SUM(G7:G10)</f>
        <v>72430.288</v>
      </c>
      <c r="H6" s="67">
        <f t="shared" ref="H6" si="0">SUM(H7:H10)</f>
        <v>217290.864</v>
      </c>
      <c r="I6" s="67">
        <f>SUM(I7:I10)</f>
        <v>72430.288</v>
      </c>
      <c r="J6" s="67">
        <f>SUM(J7:J10)</f>
        <v>72430.288</v>
      </c>
      <c r="K6" s="67">
        <f>SUM(K7:K10)</f>
        <v>72430.288</v>
      </c>
      <c r="L6" s="67">
        <f>I6+J6+K6</f>
        <v>217290.864</v>
      </c>
      <c r="M6" s="300"/>
      <c r="N6" s="67">
        <f>SUM(N7:N10)</f>
        <v>74929.395999999993</v>
      </c>
      <c r="O6" s="67">
        <f>SUM(O7:O10)</f>
        <v>74929.395999999993</v>
      </c>
      <c r="P6" s="67">
        <f>SUM(P7:P10)</f>
        <v>74929.395999999993</v>
      </c>
      <c r="Q6" s="67">
        <f t="shared" ref="Q6:U6" si="1">SUM(Q7:Q10)</f>
        <v>224788.18799999999</v>
      </c>
      <c r="R6" s="67">
        <f>SUM(R7:R10)</f>
        <v>74929.395999999993</v>
      </c>
      <c r="S6" s="67">
        <f>SUM(S7:S10)</f>
        <v>74929.395999999993</v>
      </c>
      <c r="T6" s="67">
        <f>SUM(T7:T10)</f>
        <v>74929.395999999993</v>
      </c>
      <c r="U6" s="67">
        <f t="shared" si="1"/>
        <v>224788.18799999999</v>
      </c>
      <c r="V6" s="96">
        <f t="shared" ref="V6:V11" si="2">H6+L6+Q6+U6</f>
        <v>884158.10399999993</v>
      </c>
    </row>
    <row r="7" spans="1:22" s="13" customFormat="1">
      <c r="A7" s="44" t="s">
        <v>14</v>
      </c>
      <c r="B7" s="45" t="s">
        <v>15</v>
      </c>
      <c r="C7" s="89">
        <v>11.52</v>
      </c>
      <c r="D7" s="46">
        <f>C7*K4</f>
        <v>50508.287999999993</v>
      </c>
      <c r="E7" s="291">
        <v>10.97</v>
      </c>
      <c r="F7" s="46">
        <f>E7*K4</f>
        <v>48096.868000000002</v>
      </c>
      <c r="G7" s="46">
        <f>F7</f>
        <v>48096.868000000002</v>
      </c>
      <c r="H7" s="98">
        <f>D7+F7+G7</f>
        <v>146702.02399999998</v>
      </c>
      <c r="I7" s="46">
        <f>G7</f>
        <v>48096.868000000002</v>
      </c>
      <c r="J7" s="46">
        <f>I7</f>
        <v>48096.868000000002</v>
      </c>
      <c r="K7" s="46">
        <f>J7</f>
        <v>48096.868000000002</v>
      </c>
      <c r="L7" s="98">
        <f>I7+J7+K7</f>
        <v>144290.60399999999</v>
      </c>
      <c r="M7" s="291">
        <v>11.54</v>
      </c>
      <c r="N7" s="76">
        <f>M7*K4</f>
        <v>50595.975999999995</v>
      </c>
      <c r="O7" s="76">
        <f>N7</f>
        <v>50595.975999999995</v>
      </c>
      <c r="P7" s="76">
        <f>O7</f>
        <v>50595.975999999995</v>
      </c>
      <c r="Q7" s="85">
        <f>SUM(N7:P7)</f>
        <v>151787.92799999999</v>
      </c>
      <c r="R7" s="76">
        <f>P7</f>
        <v>50595.975999999995</v>
      </c>
      <c r="S7" s="76">
        <f>R7</f>
        <v>50595.975999999995</v>
      </c>
      <c r="T7" s="76">
        <f>S7</f>
        <v>50595.975999999995</v>
      </c>
      <c r="U7" s="85">
        <f>SUM(R7:T7)</f>
        <v>151787.92799999999</v>
      </c>
      <c r="V7" s="76">
        <f t="shared" si="2"/>
        <v>594568.48399999994</v>
      </c>
    </row>
    <row r="8" spans="1:22" s="13" customFormat="1">
      <c r="A8" s="23" t="s">
        <v>16</v>
      </c>
      <c r="B8" s="15" t="s">
        <v>17</v>
      </c>
      <c r="C8" s="27">
        <v>2.57</v>
      </c>
      <c r="D8" s="25">
        <f>C8*K4</f>
        <v>11267.907999999998</v>
      </c>
      <c r="E8" s="288">
        <v>2.8</v>
      </c>
      <c r="F8" s="25">
        <f>E8*K4</f>
        <v>12276.319999999998</v>
      </c>
      <c r="G8" s="25">
        <f>E8*K4</f>
        <v>12276.319999999998</v>
      </c>
      <c r="H8" s="20">
        <f>D8+F8+G8</f>
        <v>35820.547999999995</v>
      </c>
      <c r="I8" s="25">
        <f>E8*K4</f>
        <v>12276.319999999998</v>
      </c>
      <c r="J8" s="25">
        <f>E8*K4</f>
        <v>12276.319999999998</v>
      </c>
      <c r="K8" s="25">
        <f>E8*K4</f>
        <v>12276.319999999998</v>
      </c>
      <c r="L8" s="20">
        <f>I8+J8+K8</f>
        <v>36828.959999999992</v>
      </c>
      <c r="M8" s="288">
        <v>2.8</v>
      </c>
      <c r="N8" s="28">
        <f>E8*K4</f>
        <v>12276.319999999998</v>
      </c>
      <c r="O8" s="28">
        <f>E8*K4</f>
        <v>12276.319999999998</v>
      </c>
      <c r="P8" s="28">
        <f>E8*K4</f>
        <v>12276.319999999998</v>
      </c>
      <c r="Q8" s="22">
        <f t="shared" ref="Q8:Q10" si="3">SUM(N8:P8)</f>
        <v>36828.959999999992</v>
      </c>
      <c r="R8" s="28">
        <f>E8*K4</f>
        <v>12276.319999999998</v>
      </c>
      <c r="S8" s="28">
        <f>E8*K4</f>
        <v>12276.319999999998</v>
      </c>
      <c r="T8" s="28">
        <f>E8*K4</f>
        <v>12276.319999999998</v>
      </c>
      <c r="U8" s="22">
        <f>T8+S8+R8</f>
        <v>36828.959999999992</v>
      </c>
      <c r="V8" s="28">
        <f t="shared" si="2"/>
        <v>146307.42799999996</v>
      </c>
    </row>
    <row r="9" spans="1:22" s="13" customFormat="1">
      <c r="A9" s="23" t="s">
        <v>18</v>
      </c>
      <c r="B9" s="15" t="s">
        <v>30</v>
      </c>
      <c r="C9" s="27">
        <v>1.86</v>
      </c>
      <c r="D9" s="25">
        <f>C9*$K$4</f>
        <v>8154.9839999999995</v>
      </c>
      <c r="E9" s="288">
        <v>2.2000000000000002</v>
      </c>
      <c r="F9" s="25">
        <f>E9*K4</f>
        <v>9645.68</v>
      </c>
      <c r="G9" s="25">
        <f>E9*K4</f>
        <v>9645.68</v>
      </c>
      <c r="H9" s="20">
        <f>D9+F9+G9</f>
        <v>27446.344000000001</v>
      </c>
      <c r="I9" s="25">
        <f>E9*K4</f>
        <v>9645.68</v>
      </c>
      <c r="J9" s="25">
        <f>E9*K4</f>
        <v>9645.68</v>
      </c>
      <c r="K9" s="25">
        <f>E9*K4</f>
        <v>9645.68</v>
      </c>
      <c r="L9" s="20">
        <f>I9+J9+K9</f>
        <v>28937.040000000001</v>
      </c>
      <c r="M9" s="288">
        <v>2.2000000000000002</v>
      </c>
      <c r="N9" s="28">
        <f>E9*K4</f>
        <v>9645.68</v>
      </c>
      <c r="O9" s="28">
        <f>E9*K4</f>
        <v>9645.68</v>
      </c>
      <c r="P9" s="28">
        <f>O9</f>
        <v>9645.68</v>
      </c>
      <c r="Q9" s="22">
        <f t="shared" si="3"/>
        <v>28937.040000000001</v>
      </c>
      <c r="R9" s="28">
        <f>E9*K4</f>
        <v>9645.68</v>
      </c>
      <c r="S9" s="28">
        <f>E9*K4</f>
        <v>9645.68</v>
      </c>
      <c r="T9" s="28">
        <f>E9*K4</f>
        <v>9645.68</v>
      </c>
      <c r="U9" s="22">
        <f t="shared" ref="U9:U10" si="4">SUM(R9:T9)</f>
        <v>28937.040000000001</v>
      </c>
      <c r="V9" s="28">
        <f t="shared" si="2"/>
        <v>114257.46400000001</v>
      </c>
    </row>
    <row r="10" spans="1:22" s="13" customFormat="1">
      <c r="A10" s="23" t="s">
        <v>102</v>
      </c>
      <c r="B10" s="15" t="s">
        <v>19</v>
      </c>
      <c r="C10" s="27">
        <v>0.56999999999999995</v>
      </c>
      <c r="D10" s="25">
        <f>C10*K4</f>
        <v>2499.1079999999997</v>
      </c>
      <c r="E10" s="288">
        <v>0.55000000000000004</v>
      </c>
      <c r="F10" s="25">
        <f>E10*K4</f>
        <v>2411.42</v>
      </c>
      <c r="G10" s="25">
        <f>F10</f>
        <v>2411.42</v>
      </c>
      <c r="H10" s="20">
        <f>D10+F10+G10</f>
        <v>7321.9480000000003</v>
      </c>
      <c r="I10" s="25">
        <f>G10</f>
        <v>2411.42</v>
      </c>
      <c r="J10" s="25">
        <f>I10</f>
        <v>2411.42</v>
      </c>
      <c r="K10" s="25">
        <f>J10</f>
        <v>2411.42</v>
      </c>
      <c r="L10" s="20">
        <f>I10+J10+K10</f>
        <v>7234.26</v>
      </c>
      <c r="M10" s="288">
        <v>0.55000000000000004</v>
      </c>
      <c r="N10" s="28">
        <f>K10</f>
        <v>2411.42</v>
      </c>
      <c r="O10" s="28">
        <f>N10</f>
        <v>2411.42</v>
      </c>
      <c r="P10" s="28">
        <f>O10</f>
        <v>2411.42</v>
      </c>
      <c r="Q10" s="22">
        <f t="shared" si="3"/>
        <v>7234.26</v>
      </c>
      <c r="R10" s="28">
        <f>P10</f>
        <v>2411.42</v>
      </c>
      <c r="S10" s="28">
        <f>R10</f>
        <v>2411.42</v>
      </c>
      <c r="T10" s="28">
        <f>S10</f>
        <v>2411.42</v>
      </c>
      <c r="U10" s="22">
        <f t="shared" si="4"/>
        <v>7234.26</v>
      </c>
      <c r="V10" s="28">
        <f t="shared" si="2"/>
        <v>29024.728000000003</v>
      </c>
    </row>
    <row r="11" spans="1:22" s="13" customFormat="1">
      <c r="A11" s="23" t="s">
        <v>32</v>
      </c>
      <c r="B11" s="15" t="s">
        <v>20</v>
      </c>
      <c r="C11" s="90"/>
      <c r="D11" s="30">
        <v>65160.06</v>
      </c>
      <c r="E11" s="288"/>
      <c r="F11" s="30">
        <v>74693.36</v>
      </c>
      <c r="G11" s="30">
        <v>68111.929999999993</v>
      </c>
      <c r="H11" s="55">
        <f>D11+F11+G11+G12</f>
        <v>207965.34999999998</v>
      </c>
      <c r="I11" s="30">
        <v>69799.289999999994</v>
      </c>
      <c r="J11" s="30">
        <v>74591.009999999995</v>
      </c>
      <c r="K11" s="30">
        <v>64120.54</v>
      </c>
      <c r="L11" s="20">
        <f>I11+J11+K11+K12</f>
        <v>213310.84</v>
      </c>
      <c r="M11" s="288"/>
      <c r="N11" s="30">
        <v>63150.16</v>
      </c>
      <c r="O11" s="30">
        <v>67075.27</v>
      </c>
      <c r="P11" s="30">
        <v>70521.919999999998</v>
      </c>
      <c r="Q11" s="56">
        <f>N11+O11+P11+P12</f>
        <v>200747.35</v>
      </c>
      <c r="R11" s="30">
        <v>89371.57</v>
      </c>
      <c r="S11" s="30">
        <v>71449.899999999994</v>
      </c>
      <c r="T11" s="30">
        <v>97379.6</v>
      </c>
      <c r="U11" s="56">
        <f>SUM(R11:T11)+T12</f>
        <v>264801.07</v>
      </c>
      <c r="V11" s="30">
        <f t="shared" si="2"/>
        <v>886824.60999999987</v>
      </c>
    </row>
    <row r="12" spans="1:22" s="13" customFormat="1" ht="15.75" thickBot="1">
      <c r="A12" s="32"/>
      <c r="B12" s="33" t="s">
        <v>72</v>
      </c>
      <c r="C12" s="48"/>
      <c r="D12" s="34"/>
      <c r="E12" s="289"/>
      <c r="F12" s="34"/>
      <c r="G12" s="34"/>
      <c r="H12" s="66"/>
      <c r="I12" s="58"/>
      <c r="J12" s="34"/>
      <c r="K12" s="91">
        <v>4800</v>
      </c>
      <c r="L12" s="84"/>
      <c r="M12" s="289"/>
      <c r="N12" s="58"/>
      <c r="O12" s="58"/>
      <c r="P12" s="58"/>
      <c r="Q12" s="84"/>
      <c r="R12" s="58"/>
      <c r="S12" s="58"/>
      <c r="T12" s="94">
        <f>4800+1800</f>
        <v>6600</v>
      </c>
      <c r="U12" s="84"/>
      <c r="V12" s="58"/>
    </row>
    <row r="13" spans="1:22" s="13" customFormat="1" ht="15.75" customHeight="1" thickBot="1">
      <c r="A13" s="93"/>
      <c r="B13" s="92" t="s">
        <v>21</v>
      </c>
      <c r="C13" s="41"/>
      <c r="D13" s="43">
        <f>D11-D6</f>
        <v>-7270.2279999999882</v>
      </c>
      <c r="E13" s="290"/>
      <c r="F13" s="43">
        <f t="shared" ref="F13:U13" si="5">F11-F6</f>
        <v>2263.0720000000001</v>
      </c>
      <c r="G13" s="43">
        <f t="shared" si="5"/>
        <v>-4318.3580000000075</v>
      </c>
      <c r="H13" s="69">
        <f t="shared" si="5"/>
        <v>-9325.5140000000247</v>
      </c>
      <c r="I13" s="42">
        <f t="shared" si="5"/>
        <v>-2630.9980000000069</v>
      </c>
      <c r="J13" s="43">
        <f t="shared" si="5"/>
        <v>2160.7219999999943</v>
      </c>
      <c r="K13" s="43">
        <f t="shared" si="5"/>
        <v>-8309.7479999999996</v>
      </c>
      <c r="L13" s="69">
        <f t="shared" si="5"/>
        <v>-3980.0240000000049</v>
      </c>
      <c r="M13" s="290"/>
      <c r="N13" s="42">
        <f t="shared" si="5"/>
        <v>-11779.23599999999</v>
      </c>
      <c r="O13" s="42">
        <f t="shared" si="5"/>
        <v>-7854.1259999999893</v>
      </c>
      <c r="P13" s="42">
        <f t="shared" si="5"/>
        <v>-4407.4759999999951</v>
      </c>
      <c r="Q13" s="69">
        <f t="shared" si="5"/>
        <v>-24040.837999999989</v>
      </c>
      <c r="R13" s="42">
        <f t="shared" si="5"/>
        <v>14442.174000000014</v>
      </c>
      <c r="S13" s="42">
        <f t="shared" si="5"/>
        <v>-3479.4959999999992</v>
      </c>
      <c r="T13" s="42">
        <f t="shared" si="5"/>
        <v>22450.204000000012</v>
      </c>
      <c r="U13" s="69">
        <f t="shared" si="5"/>
        <v>40012.882000000012</v>
      </c>
      <c r="V13" s="73">
        <f t="shared" ref="V13:V30" si="6">H13+L13+Q13+U13</f>
        <v>2666.5059999999939</v>
      </c>
    </row>
    <row r="14" spans="1:22" s="13" customFormat="1" ht="33" customHeight="1">
      <c r="A14" s="31" t="s">
        <v>22</v>
      </c>
      <c r="B14" s="19" t="s">
        <v>23</v>
      </c>
      <c r="C14" s="27"/>
      <c r="D14" s="22">
        <f>D15+D16+D17+D18+D19+D20+D21+D22+D23</f>
        <v>48553.691999999988</v>
      </c>
      <c r="E14" s="288"/>
      <c r="F14" s="22">
        <f>F15+F16+F17+F18+F19+F20+F21+F22+F23</f>
        <v>53880.055999999997</v>
      </c>
      <c r="G14" s="22">
        <f>G15+G16+G17+G18+G19+G20+G21+G22+G23</f>
        <v>88656.046000000002</v>
      </c>
      <c r="H14" s="20">
        <f t="shared" ref="H14:H29" si="7">D14+F14+G14</f>
        <v>191089.79399999999</v>
      </c>
      <c r="I14" s="22">
        <f>SUM(I15:I23)</f>
        <v>83369.055999999997</v>
      </c>
      <c r="J14" s="22">
        <f>SUM(J15:J23)</f>
        <v>222420.05600000001</v>
      </c>
      <c r="K14" s="22">
        <f>SUM(K15:K23)</f>
        <v>75726.986000000004</v>
      </c>
      <c r="L14" s="20">
        <f t="shared" ref="L14:L29" si="8">I14+J14+K14</f>
        <v>381516.098</v>
      </c>
      <c r="M14" s="288"/>
      <c r="N14" s="22">
        <f>SUM(N15:N23)</f>
        <v>55335.055999999997</v>
      </c>
      <c r="O14" s="22">
        <f>SUM(O15:O23)</f>
        <v>55657.055999999997</v>
      </c>
      <c r="P14" s="22">
        <f>SUM(P15:P23)</f>
        <v>54131.055999999997</v>
      </c>
      <c r="Q14" s="20">
        <f>SUM(N14:P14)</f>
        <v>165123.16800000001</v>
      </c>
      <c r="R14" s="22">
        <f>SUM(R15:R23)</f>
        <v>61014.055999999997</v>
      </c>
      <c r="S14" s="22">
        <f>SUM(S15:S23)</f>
        <v>61202.055999999997</v>
      </c>
      <c r="T14" s="22">
        <f>SUM(T15:T23)</f>
        <v>53665.055999999997</v>
      </c>
      <c r="U14" s="20">
        <f>SUM(R14:T14)</f>
        <v>175881.16800000001</v>
      </c>
      <c r="V14" s="22">
        <f t="shared" si="6"/>
        <v>913610.22800000012</v>
      </c>
    </row>
    <row r="15" spans="1:22" s="13" customFormat="1">
      <c r="A15" s="23" t="s">
        <v>24</v>
      </c>
      <c r="B15" s="15" t="s">
        <v>17</v>
      </c>
      <c r="C15" s="27">
        <v>2.57</v>
      </c>
      <c r="D15" s="25">
        <f>C15*K4</f>
        <v>11267.907999999998</v>
      </c>
      <c r="E15" s="288">
        <v>2.8</v>
      </c>
      <c r="F15" s="25">
        <f>E15*K4</f>
        <v>12276.319999999998</v>
      </c>
      <c r="G15" s="25">
        <f>E15*K4</f>
        <v>12276.319999999998</v>
      </c>
      <c r="H15" s="20">
        <f t="shared" si="7"/>
        <v>35820.547999999995</v>
      </c>
      <c r="I15" s="25">
        <f>E15*K4</f>
        <v>12276.319999999998</v>
      </c>
      <c r="J15" s="25">
        <f>E15*K4</f>
        <v>12276.319999999998</v>
      </c>
      <c r="K15" s="25">
        <f>E15*K4</f>
        <v>12276.319999999998</v>
      </c>
      <c r="L15" s="20">
        <f t="shared" si="8"/>
        <v>36828.959999999992</v>
      </c>
      <c r="M15" s="288">
        <v>2.8</v>
      </c>
      <c r="N15" s="28">
        <f>E15*K4</f>
        <v>12276.319999999998</v>
      </c>
      <c r="O15" s="28">
        <f>E15*K4</f>
        <v>12276.319999999998</v>
      </c>
      <c r="P15" s="28">
        <f>E15*K4</f>
        <v>12276.319999999998</v>
      </c>
      <c r="Q15" s="20">
        <f>SUM(N15:P15)</f>
        <v>36828.959999999992</v>
      </c>
      <c r="R15" s="28">
        <f>E15*K4</f>
        <v>12276.319999999998</v>
      </c>
      <c r="S15" s="28">
        <f>E15*K4</f>
        <v>12276.319999999998</v>
      </c>
      <c r="T15" s="28">
        <f>E15*K4</f>
        <v>12276.319999999998</v>
      </c>
      <c r="U15" s="20">
        <f>SUM(R15:T15)</f>
        <v>36828.959999999992</v>
      </c>
      <c r="V15" s="28">
        <f t="shared" si="6"/>
        <v>146307.42799999996</v>
      </c>
    </row>
    <row r="16" spans="1:22" s="13" customFormat="1">
      <c r="A16" s="23" t="s">
        <v>25</v>
      </c>
      <c r="B16" s="15" t="s">
        <v>26</v>
      </c>
      <c r="C16" s="27">
        <v>2.99</v>
      </c>
      <c r="D16" s="25">
        <f>C16*K4</f>
        <v>13109.356</v>
      </c>
      <c r="E16" s="288">
        <v>3.99</v>
      </c>
      <c r="F16" s="25">
        <f>E16*K4</f>
        <v>17493.756000000001</v>
      </c>
      <c r="G16" s="25">
        <f>F16</f>
        <v>17493.756000000001</v>
      </c>
      <c r="H16" s="20">
        <f t="shared" si="7"/>
        <v>48096.868000000002</v>
      </c>
      <c r="I16" s="25">
        <f>G16</f>
        <v>17493.756000000001</v>
      </c>
      <c r="J16" s="25">
        <f>I16</f>
        <v>17493.756000000001</v>
      </c>
      <c r="K16" s="25">
        <f>J16</f>
        <v>17493.756000000001</v>
      </c>
      <c r="L16" s="20">
        <f t="shared" si="8"/>
        <v>52481.268000000004</v>
      </c>
      <c r="M16" s="288">
        <v>3.99</v>
      </c>
      <c r="N16" s="28">
        <f>K16</f>
        <v>17493.756000000001</v>
      </c>
      <c r="O16" s="28">
        <f>N16</f>
        <v>17493.756000000001</v>
      </c>
      <c r="P16" s="28">
        <f>O16</f>
        <v>17493.756000000001</v>
      </c>
      <c r="Q16" s="20">
        <f>SUM(N16:P16)</f>
        <v>52481.268000000004</v>
      </c>
      <c r="R16" s="28">
        <f>P16</f>
        <v>17493.756000000001</v>
      </c>
      <c r="S16" s="28">
        <f>R16</f>
        <v>17493.756000000001</v>
      </c>
      <c r="T16" s="28">
        <f>S16</f>
        <v>17493.756000000001</v>
      </c>
      <c r="U16" s="20">
        <f>SUM(R16:T16)</f>
        <v>52481.268000000004</v>
      </c>
      <c r="V16" s="28">
        <f t="shared" si="6"/>
        <v>205540.67200000002</v>
      </c>
    </row>
    <row r="17" spans="1:23" s="13" customFormat="1" ht="15.75" thickBot="1">
      <c r="A17" s="32" t="s">
        <v>27</v>
      </c>
      <c r="B17" s="33" t="s">
        <v>30</v>
      </c>
      <c r="C17" s="48">
        <v>1.86</v>
      </c>
      <c r="D17" s="34">
        <f t="shared" ref="D17" si="9">C17*$K$4</f>
        <v>8154.9839999999995</v>
      </c>
      <c r="E17" s="289">
        <v>2.2000000000000002</v>
      </c>
      <c r="F17" s="34">
        <f>E17*K4</f>
        <v>9645.68</v>
      </c>
      <c r="G17" s="34">
        <f>E17*K4</f>
        <v>9645.68</v>
      </c>
      <c r="H17" s="66">
        <f t="shared" si="7"/>
        <v>27446.344000000001</v>
      </c>
      <c r="I17" s="34">
        <f>E17*K4</f>
        <v>9645.68</v>
      </c>
      <c r="J17" s="34">
        <f>E17*K4</f>
        <v>9645.68</v>
      </c>
      <c r="K17" s="34">
        <f>E17*K4</f>
        <v>9645.68</v>
      </c>
      <c r="L17" s="66">
        <f t="shared" si="8"/>
        <v>28937.040000000001</v>
      </c>
      <c r="M17" s="289">
        <v>2.2000000000000002</v>
      </c>
      <c r="N17" s="58">
        <f>E17*K4</f>
        <v>9645.68</v>
      </c>
      <c r="O17" s="58">
        <f>E17*K4</f>
        <v>9645.68</v>
      </c>
      <c r="P17" s="58">
        <f>O17</f>
        <v>9645.68</v>
      </c>
      <c r="Q17" s="66">
        <f t="shared" ref="Q17:Q29" si="10">SUM(N17:P17)</f>
        <v>28937.040000000001</v>
      </c>
      <c r="R17" s="58">
        <f>E17*K4</f>
        <v>9645.68</v>
      </c>
      <c r="S17" s="58">
        <f>E17*K4</f>
        <v>9645.68</v>
      </c>
      <c r="T17" s="58">
        <f>E17*K4</f>
        <v>9645.68</v>
      </c>
      <c r="U17" s="66">
        <f t="shared" ref="U17:U29" si="11">SUM(R17:T17)</f>
        <v>28937.040000000001</v>
      </c>
      <c r="V17" s="58">
        <f t="shared" si="6"/>
        <v>114257.46400000001</v>
      </c>
    </row>
    <row r="18" spans="1:23" s="13" customFormat="1" ht="15.75" thickBot="1">
      <c r="A18" s="93" t="s">
        <v>28</v>
      </c>
      <c r="B18" s="92" t="s">
        <v>40</v>
      </c>
      <c r="C18" s="41"/>
      <c r="D18" s="38">
        <v>9401</v>
      </c>
      <c r="E18" s="290"/>
      <c r="F18" s="38">
        <v>215</v>
      </c>
      <c r="G18" s="38">
        <v>34243</v>
      </c>
      <c r="H18" s="119">
        <f t="shared" si="7"/>
        <v>43859</v>
      </c>
      <c r="I18" s="40">
        <v>29704</v>
      </c>
      <c r="J18" s="38">
        <v>168755</v>
      </c>
      <c r="K18" s="38">
        <v>19643</v>
      </c>
      <c r="L18" s="119">
        <f t="shared" si="8"/>
        <v>218102</v>
      </c>
      <c r="M18" s="290"/>
      <c r="N18" s="40">
        <v>1670</v>
      </c>
      <c r="O18" s="40">
        <v>1992</v>
      </c>
      <c r="P18" s="40">
        <v>466</v>
      </c>
      <c r="Q18" s="119">
        <f t="shared" si="10"/>
        <v>4128</v>
      </c>
      <c r="R18" s="40">
        <v>7349</v>
      </c>
      <c r="S18" s="40">
        <v>7537</v>
      </c>
      <c r="T18" s="40">
        <v>0</v>
      </c>
      <c r="U18" s="119">
        <f t="shared" si="11"/>
        <v>14886</v>
      </c>
      <c r="V18" s="125">
        <f t="shared" si="6"/>
        <v>280975</v>
      </c>
    </row>
    <row r="19" spans="1:23" s="13" customFormat="1">
      <c r="A19" s="44" t="s">
        <v>33</v>
      </c>
      <c r="B19" s="45" t="s">
        <v>39</v>
      </c>
      <c r="C19" s="89">
        <v>0.82</v>
      </c>
      <c r="D19" s="46">
        <f>C19*K4</f>
        <v>3595.2079999999996</v>
      </c>
      <c r="E19" s="291">
        <v>1</v>
      </c>
      <c r="F19" s="46">
        <f>E19*K4</f>
        <v>4384.3999999999996</v>
      </c>
      <c r="G19" s="46">
        <f t="shared" ref="G19:G21" si="12">F19</f>
        <v>4384.3999999999996</v>
      </c>
      <c r="H19" s="98">
        <f t="shared" si="7"/>
        <v>12364.007999999998</v>
      </c>
      <c r="I19" s="46">
        <f>G19</f>
        <v>4384.3999999999996</v>
      </c>
      <c r="J19" s="46">
        <f t="shared" ref="J19:K21" si="13">I19</f>
        <v>4384.3999999999996</v>
      </c>
      <c r="K19" s="46">
        <f t="shared" si="13"/>
        <v>4384.3999999999996</v>
      </c>
      <c r="L19" s="98">
        <f t="shared" si="8"/>
        <v>13153.199999999999</v>
      </c>
      <c r="M19" s="291">
        <v>1</v>
      </c>
      <c r="N19" s="76">
        <f>K19</f>
        <v>4384.3999999999996</v>
      </c>
      <c r="O19" s="76">
        <f t="shared" ref="O19:P21" si="14">N19</f>
        <v>4384.3999999999996</v>
      </c>
      <c r="P19" s="76">
        <f t="shared" si="14"/>
        <v>4384.3999999999996</v>
      </c>
      <c r="Q19" s="124">
        <f t="shared" si="10"/>
        <v>13153.199999999999</v>
      </c>
      <c r="R19" s="76">
        <f>P19</f>
        <v>4384.3999999999996</v>
      </c>
      <c r="S19" s="76">
        <f t="shared" ref="S19:T21" si="15">R19</f>
        <v>4384.3999999999996</v>
      </c>
      <c r="T19" s="76">
        <f t="shared" si="15"/>
        <v>4384.3999999999996</v>
      </c>
      <c r="U19" s="124">
        <f t="shared" si="11"/>
        <v>13153.199999999999</v>
      </c>
      <c r="V19" s="76">
        <f t="shared" si="6"/>
        <v>51823.607999999993</v>
      </c>
    </row>
    <row r="20" spans="1:23" s="13" customFormat="1">
      <c r="A20" s="23" t="s">
        <v>34</v>
      </c>
      <c r="B20" s="15" t="s">
        <v>41</v>
      </c>
      <c r="C20" s="27">
        <v>0.12</v>
      </c>
      <c r="D20" s="25">
        <f>C20*K4</f>
        <v>526.12799999999993</v>
      </c>
      <c r="E20" s="288">
        <v>0.2</v>
      </c>
      <c r="F20" s="25">
        <f>E20*K4</f>
        <v>876.88</v>
      </c>
      <c r="G20" s="25">
        <f t="shared" si="12"/>
        <v>876.88</v>
      </c>
      <c r="H20" s="20">
        <f t="shared" si="7"/>
        <v>2279.8879999999999</v>
      </c>
      <c r="I20" s="25">
        <f>G20</f>
        <v>876.88</v>
      </c>
      <c r="J20" s="25">
        <f t="shared" si="13"/>
        <v>876.88</v>
      </c>
      <c r="K20" s="25">
        <f t="shared" si="13"/>
        <v>876.88</v>
      </c>
      <c r="L20" s="20">
        <f t="shared" si="8"/>
        <v>2630.64</v>
      </c>
      <c r="M20" s="288">
        <v>0.2</v>
      </c>
      <c r="N20" s="28">
        <f>K20</f>
        <v>876.88</v>
      </c>
      <c r="O20" s="28">
        <f t="shared" si="14"/>
        <v>876.88</v>
      </c>
      <c r="P20" s="28">
        <f t="shared" si="14"/>
        <v>876.88</v>
      </c>
      <c r="Q20" s="66">
        <f t="shared" si="10"/>
        <v>2630.64</v>
      </c>
      <c r="R20" s="28">
        <f>P20</f>
        <v>876.88</v>
      </c>
      <c r="S20" s="28">
        <f t="shared" si="15"/>
        <v>876.88</v>
      </c>
      <c r="T20" s="28">
        <f t="shared" si="15"/>
        <v>876.88</v>
      </c>
      <c r="U20" s="66">
        <f t="shared" si="11"/>
        <v>2630.64</v>
      </c>
      <c r="V20" s="28">
        <f t="shared" si="6"/>
        <v>10171.807999999999</v>
      </c>
    </row>
    <row r="21" spans="1:23" s="13" customFormat="1">
      <c r="A21" s="23" t="s">
        <v>35</v>
      </c>
      <c r="B21" s="15" t="s">
        <v>29</v>
      </c>
      <c r="C21" s="27">
        <v>0.56999999999999995</v>
      </c>
      <c r="D21" s="25">
        <f t="shared" ref="D21" si="16">C21*$K$4</f>
        <v>2499.1079999999997</v>
      </c>
      <c r="E21" s="288">
        <v>0.55000000000000004</v>
      </c>
      <c r="F21" s="25">
        <f>E21*K4</f>
        <v>2411.42</v>
      </c>
      <c r="G21" s="25">
        <f t="shared" si="12"/>
        <v>2411.42</v>
      </c>
      <c r="H21" s="20">
        <f t="shared" si="7"/>
        <v>7321.9480000000003</v>
      </c>
      <c r="I21" s="25">
        <f>G21</f>
        <v>2411.42</v>
      </c>
      <c r="J21" s="25">
        <f t="shared" si="13"/>
        <v>2411.42</v>
      </c>
      <c r="K21" s="25">
        <f t="shared" si="13"/>
        <v>2411.42</v>
      </c>
      <c r="L21" s="20">
        <f t="shared" si="8"/>
        <v>7234.26</v>
      </c>
      <c r="M21" s="288">
        <v>0.55000000000000004</v>
      </c>
      <c r="N21" s="28">
        <f>K21</f>
        <v>2411.42</v>
      </c>
      <c r="O21" s="28">
        <f t="shared" si="14"/>
        <v>2411.42</v>
      </c>
      <c r="P21" s="28">
        <f t="shared" si="14"/>
        <v>2411.42</v>
      </c>
      <c r="Q21" s="66">
        <f t="shared" si="10"/>
        <v>7234.26</v>
      </c>
      <c r="R21" s="28">
        <f>P21</f>
        <v>2411.42</v>
      </c>
      <c r="S21" s="28">
        <f t="shared" si="15"/>
        <v>2411.42</v>
      </c>
      <c r="T21" s="28">
        <f t="shared" si="15"/>
        <v>2411.42</v>
      </c>
      <c r="U21" s="20">
        <f t="shared" si="11"/>
        <v>7234.26</v>
      </c>
      <c r="V21" s="28">
        <f t="shared" si="6"/>
        <v>29024.728000000003</v>
      </c>
    </row>
    <row r="22" spans="1:23" s="13" customFormat="1" ht="15.75" thickBot="1">
      <c r="A22" s="277" t="s">
        <v>134</v>
      </c>
      <c r="B22" s="278" t="s">
        <v>123</v>
      </c>
      <c r="C22" s="128"/>
      <c r="D22" s="75"/>
      <c r="E22" s="292">
        <v>1.5</v>
      </c>
      <c r="F22" s="75">
        <f>E22*K4</f>
        <v>6576.5999999999995</v>
      </c>
      <c r="G22" s="75">
        <f>F22</f>
        <v>6576.5999999999995</v>
      </c>
      <c r="H22" s="124">
        <f>G22+F22+D22</f>
        <v>13153.199999999999</v>
      </c>
      <c r="I22" s="75">
        <f>G22</f>
        <v>6576.5999999999995</v>
      </c>
      <c r="J22" s="75">
        <f>I22</f>
        <v>6576.5999999999995</v>
      </c>
      <c r="K22" s="75">
        <f>J22</f>
        <v>6576.5999999999995</v>
      </c>
      <c r="L22" s="124">
        <f>K22+J22+I22</f>
        <v>19729.8</v>
      </c>
      <c r="M22" s="292">
        <v>1.5</v>
      </c>
      <c r="N22" s="159">
        <f>K22</f>
        <v>6576.5999999999995</v>
      </c>
      <c r="O22" s="159">
        <f>N22</f>
        <v>6576.5999999999995</v>
      </c>
      <c r="P22" s="159">
        <f>O22</f>
        <v>6576.5999999999995</v>
      </c>
      <c r="Q22" s="66">
        <f t="shared" si="10"/>
        <v>19729.8</v>
      </c>
      <c r="R22" s="159">
        <f>P22</f>
        <v>6576.5999999999995</v>
      </c>
      <c r="S22" s="159">
        <f>R22</f>
        <v>6576.5999999999995</v>
      </c>
      <c r="T22" s="159">
        <f>S22</f>
        <v>6576.5999999999995</v>
      </c>
      <c r="U22" s="66">
        <f>T22+S22+R22</f>
        <v>19729.8</v>
      </c>
      <c r="V22" s="58">
        <f t="shared" si="6"/>
        <v>72342.600000000006</v>
      </c>
    </row>
    <row r="23" spans="1:23" s="13" customFormat="1" ht="15.75" thickBot="1">
      <c r="A23" s="93" t="s">
        <v>125</v>
      </c>
      <c r="B23" s="59" t="s">
        <v>84</v>
      </c>
      <c r="C23" s="41"/>
      <c r="D23" s="43">
        <f>SUM(D25:D29)</f>
        <v>0</v>
      </c>
      <c r="E23" s="290"/>
      <c r="F23" s="43">
        <f>SUM(F25:F29)</f>
        <v>0</v>
      </c>
      <c r="G23" s="38">
        <f>SUM(G25:G29)</f>
        <v>747.99</v>
      </c>
      <c r="H23" s="67">
        <f t="shared" si="7"/>
        <v>747.99</v>
      </c>
      <c r="I23" s="43">
        <f>SUM(I25:I29)</f>
        <v>0</v>
      </c>
      <c r="J23" s="43">
        <f>SUM(J25:J29)</f>
        <v>0</v>
      </c>
      <c r="K23" s="38">
        <f>SUM(K25:K29)</f>
        <v>2418.9299999999998</v>
      </c>
      <c r="L23" s="67">
        <f t="shared" si="8"/>
        <v>2418.9299999999998</v>
      </c>
      <c r="M23" s="290"/>
      <c r="N23" s="42">
        <f>SUM(N25:N29)</f>
        <v>0</v>
      </c>
      <c r="O23" s="42">
        <f>SUM(O25:O29)</f>
        <v>0</v>
      </c>
      <c r="P23" s="42">
        <f>SUM(P25:P29)</f>
        <v>0</v>
      </c>
      <c r="Q23" s="67">
        <f t="shared" si="10"/>
        <v>0</v>
      </c>
      <c r="R23" s="42">
        <f>SUM(R25:R29)</f>
        <v>0</v>
      </c>
      <c r="S23" s="42">
        <f>SUM(S25:S29)</f>
        <v>0</v>
      </c>
      <c r="T23" s="40">
        <f>SUM(T25:T29)</f>
        <v>0</v>
      </c>
      <c r="U23" s="67">
        <f t="shared" si="11"/>
        <v>0</v>
      </c>
      <c r="V23" s="73">
        <f t="shared" si="6"/>
        <v>3166.92</v>
      </c>
    </row>
    <row r="24" spans="1:23" s="13" customFormat="1">
      <c r="A24" s="44"/>
      <c r="B24" s="45" t="s">
        <v>42</v>
      </c>
      <c r="C24" s="89"/>
      <c r="D24" s="46"/>
      <c r="E24" s="291"/>
      <c r="F24" s="46"/>
      <c r="G24" s="46"/>
      <c r="H24" s="98">
        <f t="shared" si="7"/>
        <v>0</v>
      </c>
      <c r="I24" s="76"/>
      <c r="J24" s="46"/>
      <c r="K24" s="46"/>
      <c r="L24" s="98">
        <f t="shared" si="8"/>
        <v>0</v>
      </c>
      <c r="M24" s="291"/>
      <c r="N24" s="76"/>
      <c r="O24" s="76"/>
      <c r="P24" s="76"/>
      <c r="Q24" s="124">
        <f t="shared" si="10"/>
        <v>0</v>
      </c>
      <c r="R24" s="76"/>
      <c r="S24" s="76"/>
      <c r="T24" s="76"/>
      <c r="U24" s="124">
        <f t="shared" si="11"/>
        <v>0</v>
      </c>
      <c r="V24" s="76">
        <f t="shared" si="6"/>
        <v>0</v>
      </c>
    </row>
    <row r="25" spans="1:23" s="13" customFormat="1">
      <c r="A25" s="23"/>
      <c r="B25" s="15" t="s">
        <v>48</v>
      </c>
      <c r="C25" s="27"/>
      <c r="D25" s="25"/>
      <c r="E25" s="288"/>
      <c r="F25" s="25"/>
      <c r="G25" s="25"/>
      <c r="H25" s="20">
        <f t="shared" si="7"/>
        <v>0</v>
      </c>
      <c r="I25" s="28"/>
      <c r="J25" s="29"/>
      <c r="K25" s="25"/>
      <c r="L25" s="20">
        <f t="shared" si="8"/>
        <v>0</v>
      </c>
      <c r="M25" s="288"/>
      <c r="N25" s="28"/>
      <c r="O25" s="28"/>
      <c r="P25" s="28"/>
      <c r="Q25" s="66">
        <f t="shared" si="10"/>
        <v>0</v>
      </c>
      <c r="R25" s="28"/>
      <c r="S25" s="28"/>
      <c r="T25" s="28"/>
      <c r="U25" s="66">
        <f t="shared" si="11"/>
        <v>0</v>
      </c>
      <c r="V25" s="28">
        <f t="shared" si="6"/>
        <v>0</v>
      </c>
    </row>
    <row r="26" spans="1:23" s="13" customFormat="1">
      <c r="A26" s="23"/>
      <c r="B26" s="15" t="s">
        <v>49</v>
      </c>
      <c r="C26" s="27"/>
      <c r="D26" s="25"/>
      <c r="E26" s="288"/>
      <c r="F26" s="25"/>
      <c r="G26" s="25"/>
      <c r="H26" s="20">
        <f t="shared" si="7"/>
        <v>0</v>
      </c>
      <c r="I26" s="28"/>
      <c r="J26" s="29"/>
      <c r="K26" s="25"/>
      <c r="L26" s="20">
        <f t="shared" si="8"/>
        <v>0</v>
      </c>
      <c r="M26" s="288"/>
      <c r="N26" s="28"/>
      <c r="O26" s="28"/>
      <c r="P26" s="28"/>
      <c r="Q26" s="66">
        <f t="shared" si="10"/>
        <v>0</v>
      </c>
      <c r="R26" s="28"/>
      <c r="S26" s="28"/>
      <c r="T26" s="28"/>
      <c r="U26" s="66">
        <f t="shared" si="11"/>
        <v>0</v>
      </c>
      <c r="V26" s="28">
        <f t="shared" si="6"/>
        <v>0</v>
      </c>
    </row>
    <row r="27" spans="1:23" s="13" customFormat="1">
      <c r="A27" s="23"/>
      <c r="B27" s="15" t="s">
        <v>47</v>
      </c>
      <c r="C27" s="27"/>
      <c r="D27" s="25"/>
      <c r="E27" s="288"/>
      <c r="F27" s="25"/>
      <c r="G27" s="25"/>
      <c r="H27" s="20">
        <f t="shared" si="7"/>
        <v>0</v>
      </c>
      <c r="I27" s="28"/>
      <c r="J27" s="29"/>
      <c r="K27" s="25"/>
      <c r="L27" s="20">
        <f t="shared" si="8"/>
        <v>0</v>
      </c>
      <c r="M27" s="288"/>
      <c r="N27" s="28"/>
      <c r="O27" s="28"/>
      <c r="P27" s="28"/>
      <c r="Q27" s="66">
        <f t="shared" si="10"/>
        <v>0</v>
      </c>
      <c r="R27" s="28"/>
      <c r="S27" s="28"/>
      <c r="T27" s="28"/>
      <c r="U27" s="66">
        <f t="shared" si="11"/>
        <v>0</v>
      </c>
      <c r="V27" s="28">
        <f t="shared" si="6"/>
        <v>0</v>
      </c>
    </row>
    <row r="28" spans="1:23" s="13" customFormat="1">
      <c r="A28" s="23"/>
      <c r="B28" s="15" t="s">
        <v>53</v>
      </c>
      <c r="C28" s="27"/>
      <c r="D28" s="25"/>
      <c r="E28" s="288"/>
      <c r="F28" s="25"/>
      <c r="G28" s="25"/>
      <c r="H28" s="20">
        <f t="shared" si="7"/>
        <v>0</v>
      </c>
      <c r="I28" s="28"/>
      <c r="J28" s="25"/>
      <c r="K28" s="29">
        <v>1940.05</v>
      </c>
      <c r="L28" s="20">
        <f t="shared" si="8"/>
        <v>1940.05</v>
      </c>
      <c r="M28" s="288"/>
      <c r="N28" s="28"/>
      <c r="O28" s="28"/>
      <c r="P28" s="28"/>
      <c r="Q28" s="66">
        <f t="shared" si="10"/>
        <v>0</v>
      </c>
      <c r="R28" s="28"/>
      <c r="S28" s="28"/>
      <c r="T28" s="30"/>
      <c r="U28" s="66">
        <f t="shared" si="11"/>
        <v>0</v>
      </c>
      <c r="V28" s="28">
        <f t="shared" si="6"/>
        <v>1940.05</v>
      </c>
    </row>
    <row r="29" spans="1:23" s="13" customFormat="1">
      <c r="A29" s="23"/>
      <c r="B29" s="15" t="s">
        <v>83</v>
      </c>
      <c r="C29" s="27"/>
      <c r="D29" s="25"/>
      <c r="E29" s="288"/>
      <c r="F29" s="25"/>
      <c r="G29" s="29">
        <v>747.99</v>
      </c>
      <c r="H29" s="20">
        <f t="shared" si="7"/>
        <v>747.99</v>
      </c>
      <c r="I29" s="28"/>
      <c r="J29" s="25"/>
      <c r="K29" s="29">
        <f>200+278.88</f>
        <v>478.88</v>
      </c>
      <c r="L29" s="20">
        <f t="shared" si="8"/>
        <v>478.88</v>
      </c>
      <c r="M29" s="288"/>
      <c r="N29" s="28"/>
      <c r="O29" s="28"/>
      <c r="P29" s="28"/>
      <c r="Q29" s="66">
        <f t="shared" si="10"/>
        <v>0</v>
      </c>
      <c r="R29" s="28"/>
      <c r="S29" s="30"/>
      <c r="T29" s="28"/>
      <c r="U29" s="66">
        <f t="shared" si="11"/>
        <v>0</v>
      </c>
      <c r="V29" s="28">
        <f t="shared" si="6"/>
        <v>1226.8699999999999</v>
      </c>
    </row>
    <row r="30" spans="1:23" s="13" customFormat="1">
      <c r="A30" s="23"/>
      <c r="B30" s="15" t="s">
        <v>43</v>
      </c>
      <c r="C30" s="56"/>
      <c r="D30" s="29"/>
      <c r="E30" s="297"/>
      <c r="F30" s="25"/>
      <c r="G30" s="25"/>
      <c r="H30" s="20">
        <f>H11-H14</f>
        <v>16875.555999999982</v>
      </c>
      <c r="I30" s="28"/>
      <c r="J30" s="25"/>
      <c r="K30" s="25"/>
      <c r="L30" s="20">
        <f>L11-L14</f>
        <v>-168205.258</v>
      </c>
      <c r="M30" s="297"/>
      <c r="N30" s="26"/>
      <c r="O30" s="26"/>
      <c r="P30" s="28"/>
      <c r="Q30" s="20">
        <f>Q11-Q14</f>
        <v>35624.182000000001</v>
      </c>
      <c r="R30" s="28"/>
      <c r="S30" s="28"/>
      <c r="T30" s="28"/>
      <c r="U30" s="20">
        <f>U11-U14</f>
        <v>88919.902000000002</v>
      </c>
      <c r="V30" s="28">
        <f t="shared" si="6"/>
        <v>-26785.618000000017</v>
      </c>
      <c r="W30" s="126"/>
    </row>
    <row r="31" spans="1:23" s="13" customFormat="1">
      <c r="A31" s="51"/>
      <c r="B31" s="52"/>
      <c r="C31" s="51"/>
      <c r="D31" s="50"/>
      <c r="E31" s="50"/>
    </row>
    <row r="32" spans="1:23">
      <c r="A32" s="7"/>
      <c r="B32" s="7"/>
      <c r="C32" s="7"/>
      <c r="H32" s="6"/>
      <c r="L32" s="6"/>
      <c r="M32" s="6"/>
      <c r="N32" s="211"/>
      <c r="O32" s="211"/>
      <c r="P32" s="211"/>
      <c r="Q32" s="6"/>
    </row>
  </sheetData>
  <mergeCells count="4">
    <mergeCell ref="A1:L1"/>
    <mergeCell ref="A2:L2"/>
    <mergeCell ref="A3:L3"/>
    <mergeCell ref="R3:V3"/>
  </mergeCells>
  <pageMargins left="0.23622047244094491" right="0.23622047244094491" top="0.74803149606299213" bottom="0.74803149606299213" header="0.31496062992125984" footer="0.31496062992125984"/>
  <pageSetup paperSize="9" scale="57" orientation="landscape" horizontalDpi="180" verticalDpi="18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zoomScaleNormal="100" workbookViewId="0">
      <selection activeCell="V29" sqref="V29"/>
    </sheetView>
  </sheetViews>
  <sheetFormatPr defaultRowHeight="15"/>
  <cols>
    <col min="1" max="1" width="5" customWidth="1"/>
    <col min="2" max="2" width="36.28515625" customWidth="1"/>
    <col min="3" max="3" width="7.5703125" customWidth="1"/>
    <col min="8" max="8" width="10.140625" customWidth="1"/>
  </cols>
  <sheetData>
    <row r="1" spans="1:22" s="13" customForma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N1" s="13" t="s">
        <v>136</v>
      </c>
      <c r="R1" s="13" t="s">
        <v>94</v>
      </c>
    </row>
    <row r="2" spans="1:22" s="13" customFormat="1">
      <c r="A2" s="368" t="s">
        <v>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R2" s="13" t="s">
        <v>95</v>
      </c>
    </row>
    <row r="3" spans="1:22" s="13" customFormat="1">
      <c r="A3" s="370" t="s">
        <v>110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R3" s="373" t="s">
        <v>138</v>
      </c>
      <c r="S3" s="373"/>
      <c r="T3" s="373"/>
      <c r="U3" s="373"/>
      <c r="V3" s="373"/>
    </row>
    <row r="4" spans="1:22" s="13" customFormat="1" ht="15.75" thickBot="1">
      <c r="B4" s="13" t="s">
        <v>99</v>
      </c>
      <c r="K4" s="13">
        <v>4589.2</v>
      </c>
    </row>
    <row r="5" spans="1:22" s="13" customFormat="1">
      <c r="A5" s="191"/>
      <c r="B5" s="135" t="s">
        <v>2</v>
      </c>
      <c r="C5" s="175" t="s">
        <v>3</v>
      </c>
      <c r="D5" s="135" t="s">
        <v>4</v>
      </c>
      <c r="E5" s="135" t="s">
        <v>5</v>
      </c>
      <c r="F5" s="321" t="s">
        <v>3</v>
      </c>
      <c r="G5" s="135" t="s">
        <v>6</v>
      </c>
      <c r="H5" s="137" t="s">
        <v>7</v>
      </c>
      <c r="I5" s="135" t="s">
        <v>8</v>
      </c>
      <c r="J5" s="135" t="s">
        <v>9</v>
      </c>
      <c r="K5" s="135" t="s">
        <v>10</v>
      </c>
      <c r="L5" s="139" t="s">
        <v>11</v>
      </c>
      <c r="M5" s="138" t="s">
        <v>54</v>
      </c>
      <c r="N5" s="138" t="s">
        <v>55</v>
      </c>
      <c r="O5" s="138" t="s">
        <v>56</v>
      </c>
      <c r="P5" s="139" t="s">
        <v>57</v>
      </c>
      <c r="Q5" s="138" t="s">
        <v>63</v>
      </c>
      <c r="R5" s="138" t="s">
        <v>64</v>
      </c>
      <c r="S5" s="138" t="s">
        <v>65</v>
      </c>
      <c r="T5" s="138" t="s">
        <v>66</v>
      </c>
      <c r="U5" s="140" t="s">
        <v>71</v>
      </c>
    </row>
    <row r="6" spans="1:22" s="13" customFormat="1" ht="29.25" customHeight="1">
      <c r="A6" s="141" t="s">
        <v>12</v>
      </c>
      <c r="B6" s="19" t="s">
        <v>13</v>
      </c>
      <c r="C6" s="20"/>
      <c r="D6" s="20">
        <f>SUM(D7:D10)</f>
        <v>70444.22</v>
      </c>
      <c r="E6" s="20">
        <f>SUM(E7:E10)</f>
        <v>70443.975999999995</v>
      </c>
      <c r="F6" s="322"/>
      <c r="G6" s="20">
        <f t="shared" ref="G6:T6" si="0">SUM(G7:G10)</f>
        <v>72876.495999999999</v>
      </c>
      <c r="H6" s="20">
        <f t="shared" si="0"/>
        <v>213780.57200000001</v>
      </c>
      <c r="I6" s="20">
        <f t="shared" si="0"/>
        <v>72876.495999999999</v>
      </c>
      <c r="J6" s="20">
        <f t="shared" si="0"/>
        <v>72876.495999999999</v>
      </c>
      <c r="K6" s="20">
        <f t="shared" si="0"/>
        <v>72876.495999999999</v>
      </c>
      <c r="L6" s="20">
        <f t="shared" si="0"/>
        <v>218629.48800000001</v>
      </c>
      <c r="M6" s="20">
        <f t="shared" si="0"/>
        <v>72876.495999999999</v>
      </c>
      <c r="N6" s="20">
        <f t="shared" si="0"/>
        <v>72876.495999999999</v>
      </c>
      <c r="O6" s="20">
        <f t="shared" si="0"/>
        <v>72876.495999999999</v>
      </c>
      <c r="P6" s="20">
        <f t="shared" si="0"/>
        <v>218629.48800000001</v>
      </c>
      <c r="Q6" s="20">
        <f t="shared" si="0"/>
        <v>72876.495999999999</v>
      </c>
      <c r="R6" s="20">
        <f t="shared" si="0"/>
        <v>72876.495999999999</v>
      </c>
      <c r="S6" s="20">
        <f t="shared" si="0"/>
        <v>72876.495999999999</v>
      </c>
      <c r="T6" s="20">
        <f t="shared" si="0"/>
        <v>218629.48800000001</v>
      </c>
      <c r="U6" s="142">
        <f t="shared" ref="U6:U11" si="1">H6+L6+P6+T6</f>
        <v>869669.03600000008</v>
      </c>
    </row>
    <row r="7" spans="1:22" s="13" customFormat="1">
      <c r="A7" s="143" t="s">
        <v>14</v>
      </c>
      <c r="B7" s="15" t="s">
        <v>15</v>
      </c>
      <c r="C7" s="70">
        <v>10.92</v>
      </c>
      <c r="D7" s="25">
        <f>C7*$K$4</f>
        <v>50114.063999999998</v>
      </c>
      <c r="E7" s="25">
        <f>C7*K4</f>
        <v>50114.063999999998</v>
      </c>
      <c r="F7" s="323">
        <v>10.88</v>
      </c>
      <c r="G7" s="25">
        <f>F7*K4</f>
        <v>49930.495999999999</v>
      </c>
      <c r="H7" s="20">
        <f>SUM(D7:G7)</f>
        <v>150169.50400000002</v>
      </c>
      <c r="I7" s="25">
        <f>G7</f>
        <v>49930.495999999999</v>
      </c>
      <c r="J7" s="25">
        <f>I7</f>
        <v>49930.495999999999</v>
      </c>
      <c r="K7" s="25">
        <f>J7</f>
        <v>49930.495999999999</v>
      </c>
      <c r="L7" s="22">
        <f>I7+J7+K7</f>
        <v>149791.48800000001</v>
      </c>
      <c r="M7" s="28">
        <f>K7</f>
        <v>49930.495999999999</v>
      </c>
      <c r="N7" s="28">
        <f>M7</f>
        <v>49930.495999999999</v>
      </c>
      <c r="O7" s="28">
        <f>N7</f>
        <v>49930.495999999999</v>
      </c>
      <c r="P7" s="22">
        <f>SUM(M7:O7)</f>
        <v>149791.48800000001</v>
      </c>
      <c r="Q7" s="28">
        <f>O7</f>
        <v>49930.495999999999</v>
      </c>
      <c r="R7" s="28">
        <f>Q7</f>
        <v>49930.495999999999</v>
      </c>
      <c r="S7" s="28">
        <f>R7</f>
        <v>49930.495999999999</v>
      </c>
      <c r="T7" s="28">
        <f>SUM(Q7:S7)</f>
        <v>149791.48800000001</v>
      </c>
      <c r="U7" s="144">
        <f t="shared" si="1"/>
        <v>599543.96800000011</v>
      </c>
    </row>
    <row r="8" spans="1:22" s="13" customFormat="1">
      <c r="A8" s="143" t="s">
        <v>16</v>
      </c>
      <c r="B8" s="15" t="s">
        <v>17</v>
      </c>
      <c r="C8" s="70">
        <v>2.57</v>
      </c>
      <c r="D8" s="25">
        <f t="shared" ref="D8:D10" si="2">C8*$K$4</f>
        <v>11794.243999999999</v>
      </c>
      <c r="E8" s="25">
        <v>11794</v>
      </c>
      <c r="F8" s="323">
        <v>2.8</v>
      </c>
      <c r="G8" s="25">
        <f>F8*K4</f>
        <v>12849.759999999998</v>
      </c>
      <c r="H8" s="20">
        <f>SUM(D8:G8)</f>
        <v>36440.803999999996</v>
      </c>
      <c r="I8" s="25">
        <f>F8*K4</f>
        <v>12849.759999999998</v>
      </c>
      <c r="J8" s="25">
        <f>F8*K4</f>
        <v>12849.759999999998</v>
      </c>
      <c r="K8" s="25">
        <f>F8*K4</f>
        <v>12849.759999999998</v>
      </c>
      <c r="L8" s="22">
        <f>I8+J8+K8</f>
        <v>38549.279999999999</v>
      </c>
      <c r="M8" s="28">
        <f>F8*K4</f>
        <v>12849.759999999998</v>
      </c>
      <c r="N8" s="28">
        <f>F8*K4</f>
        <v>12849.759999999998</v>
      </c>
      <c r="O8" s="28">
        <f>F8*K4</f>
        <v>12849.759999999998</v>
      </c>
      <c r="P8" s="22">
        <f t="shared" ref="P8:P10" si="3">SUM(M8:O8)</f>
        <v>38549.279999999999</v>
      </c>
      <c r="Q8" s="28">
        <f>F8*K4</f>
        <v>12849.759999999998</v>
      </c>
      <c r="R8" s="28">
        <f>F8*K4</f>
        <v>12849.759999999998</v>
      </c>
      <c r="S8" s="28">
        <f>F8*K4</f>
        <v>12849.759999999998</v>
      </c>
      <c r="T8" s="28">
        <f t="shared" ref="T8:T10" si="4">SUM(Q8:S8)</f>
        <v>38549.279999999999</v>
      </c>
      <c r="U8" s="144">
        <f t="shared" si="1"/>
        <v>152088.644</v>
      </c>
    </row>
    <row r="9" spans="1:22" s="13" customFormat="1">
      <c r="A9" s="23" t="s">
        <v>18</v>
      </c>
      <c r="B9" s="15" t="s">
        <v>30</v>
      </c>
      <c r="C9" s="70">
        <v>1.86</v>
      </c>
      <c r="D9" s="25">
        <f t="shared" si="2"/>
        <v>8535.9120000000003</v>
      </c>
      <c r="E9" s="25">
        <f t="shared" ref="E9:E10" si="5">C9*$K$4</f>
        <v>8535.9120000000003</v>
      </c>
      <c r="F9" s="323">
        <v>2.2000000000000002</v>
      </c>
      <c r="G9" s="25">
        <f>F9*K4</f>
        <v>10096.24</v>
      </c>
      <c r="H9" s="20">
        <f t="shared" ref="H9:H10" si="6">SUM(D9:G9)</f>
        <v>27170.264000000003</v>
      </c>
      <c r="I9" s="25">
        <f>F9*K4</f>
        <v>10096.24</v>
      </c>
      <c r="J9" s="25">
        <f>F9*K4</f>
        <v>10096.24</v>
      </c>
      <c r="K9" s="25">
        <f>I9</f>
        <v>10096.24</v>
      </c>
      <c r="L9" s="22">
        <f>I9+J9+K9</f>
        <v>30288.720000000001</v>
      </c>
      <c r="M9" s="28">
        <f>F9*K4</f>
        <v>10096.24</v>
      </c>
      <c r="N9" s="28">
        <f>F9*K4</f>
        <v>10096.24</v>
      </c>
      <c r="O9" s="28">
        <f>F9*K4</f>
        <v>10096.24</v>
      </c>
      <c r="P9" s="22">
        <f t="shared" si="3"/>
        <v>30288.720000000001</v>
      </c>
      <c r="Q9" s="28">
        <f>F9*K4</f>
        <v>10096.24</v>
      </c>
      <c r="R9" s="28">
        <f>F9*K4</f>
        <v>10096.24</v>
      </c>
      <c r="S9" s="28">
        <f>F9*K4</f>
        <v>10096.24</v>
      </c>
      <c r="T9" s="28">
        <f t="shared" si="4"/>
        <v>30288.720000000001</v>
      </c>
      <c r="U9" s="28">
        <f t="shared" si="1"/>
        <v>118036.424</v>
      </c>
    </row>
    <row r="10" spans="1:22" s="13" customFormat="1" ht="15.75" thickBot="1">
      <c r="A10" s="331" t="s">
        <v>31</v>
      </c>
      <c r="B10" s="332" t="s">
        <v>19</v>
      </c>
      <c r="C10" s="333"/>
      <c r="D10" s="334">
        <f t="shared" si="2"/>
        <v>0</v>
      </c>
      <c r="E10" s="334">
        <f t="shared" si="5"/>
        <v>0</v>
      </c>
      <c r="F10" s="335"/>
      <c r="G10" s="334">
        <f t="shared" ref="G10" si="7">C10*$K$4</f>
        <v>0</v>
      </c>
      <c r="H10" s="336">
        <f t="shared" si="6"/>
        <v>0</v>
      </c>
      <c r="I10" s="334">
        <f t="shared" ref="I10" si="8">C10*$K$4</f>
        <v>0</v>
      </c>
      <c r="J10" s="334">
        <f>C10*$K$4</f>
        <v>0</v>
      </c>
      <c r="K10" s="334">
        <f>C10*$K$4</f>
        <v>0</v>
      </c>
      <c r="L10" s="269">
        <f>I10+J10+K10</f>
        <v>0</v>
      </c>
      <c r="M10" s="337">
        <f>C10*$K$4</f>
        <v>0</v>
      </c>
      <c r="N10" s="337">
        <f>C10*$K$4</f>
        <v>0</v>
      </c>
      <c r="O10" s="337">
        <f>C10*$K$4</f>
        <v>0</v>
      </c>
      <c r="P10" s="269">
        <f t="shared" si="3"/>
        <v>0</v>
      </c>
      <c r="Q10" s="337">
        <f>C10*$K$4</f>
        <v>0</v>
      </c>
      <c r="R10" s="337">
        <f>C10*$K$4</f>
        <v>0</v>
      </c>
      <c r="S10" s="337">
        <f>C10*$K$4</f>
        <v>0</v>
      </c>
      <c r="T10" s="337">
        <f t="shared" si="4"/>
        <v>0</v>
      </c>
      <c r="U10" s="270">
        <f t="shared" si="1"/>
        <v>0</v>
      </c>
    </row>
    <row r="11" spans="1:22" s="13" customFormat="1" ht="15.75" thickBot="1">
      <c r="A11" s="36" t="s">
        <v>32</v>
      </c>
      <c r="B11" s="37" t="s">
        <v>20</v>
      </c>
      <c r="C11" s="174"/>
      <c r="D11" s="38">
        <v>61637.24</v>
      </c>
      <c r="E11" s="38">
        <v>64314.75</v>
      </c>
      <c r="F11" s="325"/>
      <c r="G11" s="38">
        <v>64859.24</v>
      </c>
      <c r="H11" s="119">
        <f>D11+E11+G11+G12</f>
        <v>190811.22999999998</v>
      </c>
      <c r="I11" s="38">
        <v>67780.69</v>
      </c>
      <c r="J11" s="38">
        <v>69969.070000000007</v>
      </c>
      <c r="K11" s="38">
        <v>80787.77</v>
      </c>
      <c r="L11" s="68">
        <f>I11+J11+K11+K12</f>
        <v>225437.53000000003</v>
      </c>
      <c r="M11" s="40">
        <v>71450.73</v>
      </c>
      <c r="N11" s="40">
        <v>58276.26</v>
      </c>
      <c r="O11" s="40">
        <v>86303.46</v>
      </c>
      <c r="P11" s="69">
        <f>SUM(M11:O11)</f>
        <v>216030.45</v>
      </c>
      <c r="Q11" s="40">
        <v>68039.58</v>
      </c>
      <c r="R11" s="40">
        <v>68031.759999999995</v>
      </c>
      <c r="S11" s="40">
        <v>74435.75</v>
      </c>
      <c r="T11" s="40">
        <f>SUM(Q11:S11)+S12</f>
        <v>219207.09</v>
      </c>
      <c r="U11" s="125">
        <f t="shared" si="1"/>
        <v>851486.29999999993</v>
      </c>
    </row>
    <row r="12" spans="1:22" s="13" customFormat="1">
      <c r="A12" s="148"/>
      <c r="B12" s="45" t="s">
        <v>87</v>
      </c>
      <c r="C12" s="235"/>
      <c r="D12" s="46"/>
      <c r="E12" s="46"/>
      <c r="F12" s="326"/>
      <c r="G12" s="46"/>
      <c r="H12" s="98"/>
      <c r="I12" s="46"/>
      <c r="J12" s="46"/>
      <c r="K12" s="232">
        <v>6900</v>
      </c>
      <c r="L12" s="85"/>
      <c r="M12" s="76"/>
      <c r="N12" s="76"/>
      <c r="O12" s="76"/>
      <c r="P12" s="85"/>
      <c r="Q12" s="76"/>
      <c r="R12" s="76"/>
      <c r="S12" s="231">
        <f>6900+1800</f>
        <v>8700</v>
      </c>
      <c r="T12" s="76"/>
      <c r="U12" s="149"/>
    </row>
    <row r="13" spans="1:22" s="13" customFormat="1">
      <c r="A13" s="143"/>
      <c r="B13" s="15" t="s">
        <v>21</v>
      </c>
      <c r="C13" s="78"/>
      <c r="D13" s="25">
        <f>D11-D6</f>
        <v>-8806.9800000000032</v>
      </c>
      <c r="E13" s="25">
        <f>E11-E6</f>
        <v>-6129.2259999999951</v>
      </c>
      <c r="F13" s="327"/>
      <c r="G13" s="25">
        <f t="shared" ref="G13:T13" si="9">G11-G6</f>
        <v>-8017.2560000000012</v>
      </c>
      <c r="H13" s="22">
        <f t="shared" si="9"/>
        <v>-22969.342000000033</v>
      </c>
      <c r="I13" s="25">
        <f t="shared" si="9"/>
        <v>-5095.8059999999969</v>
      </c>
      <c r="J13" s="25">
        <f t="shared" si="9"/>
        <v>-2907.4259999999922</v>
      </c>
      <c r="K13" s="25">
        <f t="shared" si="9"/>
        <v>7911.2740000000049</v>
      </c>
      <c r="L13" s="22">
        <f t="shared" si="9"/>
        <v>6808.0420000000158</v>
      </c>
      <c r="M13" s="28">
        <f t="shared" si="9"/>
        <v>-1425.7660000000033</v>
      </c>
      <c r="N13" s="28">
        <f t="shared" si="9"/>
        <v>-14600.235999999997</v>
      </c>
      <c r="O13" s="28">
        <f t="shared" si="9"/>
        <v>13426.964000000007</v>
      </c>
      <c r="P13" s="22">
        <f t="shared" si="9"/>
        <v>-2599.0380000000005</v>
      </c>
      <c r="Q13" s="28">
        <f t="shared" si="9"/>
        <v>-4836.9159999999974</v>
      </c>
      <c r="R13" s="28">
        <f t="shared" si="9"/>
        <v>-4844.7360000000044</v>
      </c>
      <c r="S13" s="28">
        <f t="shared" si="9"/>
        <v>1559.2540000000008</v>
      </c>
      <c r="T13" s="28">
        <f t="shared" si="9"/>
        <v>577.6019999999844</v>
      </c>
      <c r="U13" s="144">
        <f t="shared" ref="U13:U27" si="10">H13+L13+P13+T13</f>
        <v>-18182.736000000034</v>
      </c>
    </row>
    <row r="14" spans="1:22" s="13" customFormat="1" ht="30" customHeight="1">
      <c r="A14" s="141" t="s">
        <v>22</v>
      </c>
      <c r="B14" s="19" t="s">
        <v>23</v>
      </c>
      <c r="C14" s="56"/>
      <c r="D14" s="56">
        <f>SUM(D15:D23)</f>
        <v>45522.712</v>
      </c>
      <c r="E14" s="56">
        <f>SUM(E15:E23)</f>
        <v>69073.467999999993</v>
      </c>
      <c r="F14" s="207"/>
      <c r="G14" s="56">
        <f>SUM(G15:G23)</f>
        <v>54166.747999999992</v>
      </c>
      <c r="H14" s="20">
        <f>SUM(D14:G14)</f>
        <v>168762.92799999999</v>
      </c>
      <c r="I14" s="22">
        <f>SUM(I15:I23)</f>
        <v>53718.747999999992</v>
      </c>
      <c r="J14" s="22">
        <f>SUM(J15:J23)</f>
        <v>54167.747999999992</v>
      </c>
      <c r="K14" s="22">
        <f>SUM(K15:K23)</f>
        <v>55357.437999999995</v>
      </c>
      <c r="L14" s="22">
        <f t="shared" ref="L14:L26" si="11">I14+J14+K14</f>
        <v>163243.93399999998</v>
      </c>
      <c r="M14" s="22">
        <f>SUM(M15:M23)</f>
        <v>53718.747999999992</v>
      </c>
      <c r="N14" s="22">
        <f>SUM(N15:N23)</f>
        <v>75016.747999999992</v>
      </c>
      <c r="O14" s="22">
        <f>SUM(O15:O23)</f>
        <v>53766.747999999992</v>
      </c>
      <c r="P14" s="20">
        <f>SUM(M14:O14)</f>
        <v>182502.24399999998</v>
      </c>
      <c r="Q14" s="22">
        <f>SUM(Q15:Q23)</f>
        <v>58259.747999999992</v>
      </c>
      <c r="R14" s="22">
        <f>SUM(R15:R23)</f>
        <v>56413.747999999992</v>
      </c>
      <c r="S14" s="22">
        <f>SUM(S15:S23)</f>
        <v>63540.747999999992</v>
      </c>
      <c r="T14" s="20">
        <f>SUM(Q14:S14)</f>
        <v>178214.24399999998</v>
      </c>
      <c r="U14" s="142">
        <f t="shared" si="10"/>
        <v>692723.34999999986</v>
      </c>
    </row>
    <row r="15" spans="1:22" s="13" customFormat="1">
      <c r="A15" s="143" t="s">
        <v>24</v>
      </c>
      <c r="B15" s="15" t="s">
        <v>17</v>
      </c>
      <c r="C15" s="70">
        <v>2.57</v>
      </c>
      <c r="D15" s="25">
        <f t="shared" ref="D15:D22" si="12">C15*$K$4</f>
        <v>11794.243999999999</v>
      </c>
      <c r="E15" s="25">
        <v>11794</v>
      </c>
      <c r="F15" s="323">
        <v>2.8</v>
      </c>
      <c r="G15" s="25">
        <f>F15*K4</f>
        <v>12849.759999999998</v>
      </c>
      <c r="H15" s="20">
        <f>SUM(D15:G15)</f>
        <v>36440.803999999996</v>
      </c>
      <c r="I15" s="25">
        <f>F15*K4</f>
        <v>12849.759999999998</v>
      </c>
      <c r="J15" s="25">
        <f>F15*K4</f>
        <v>12849.759999999998</v>
      </c>
      <c r="K15" s="25">
        <f>F15*K4</f>
        <v>12849.759999999998</v>
      </c>
      <c r="L15" s="22">
        <f t="shared" si="11"/>
        <v>38549.279999999999</v>
      </c>
      <c r="M15" s="28">
        <f>F15*K4</f>
        <v>12849.759999999998</v>
      </c>
      <c r="N15" s="28">
        <f>F15*K4</f>
        <v>12849.759999999998</v>
      </c>
      <c r="O15" s="28">
        <f>F15*K4</f>
        <v>12849.759999999998</v>
      </c>
      <c r="P15" s="20">
        <f>SUM(M15:O15)</f>
        <v>38549.279999999999</v>
      </c>
      <c r="Q15" s="28">
        <f>F15*K4</f>
        <v>12849.759999999998</v>
      </c>
      <c r="R15" s="28">
        <f>F15*K4</f>
        <v>12849.759999999998</v>
      </c>
      <c r="S15" s="28">
        <f>F15*K4</f>
        <v>12849.759999999998</v>
      </c>
      <c r="T15" s="26">
        <f>SUM(Q15:S15)</f>
        <v>38549.279999999999</v>
      </c>
      <c r="U15" s="144">
        <f t="shared" si="10"/>
        <v>152088.644</v>
      </c>
    </row>
    <row r="16" spans="1:22" s="13" customFormat="1">
      <c r="A16" s="143" t="s">
        <v>25</v>
      </c>
      <c r="B16" s="15" t="s">
        <v>88</v>
      </c>
      <c r="C16" s="70">
        <v>2.99</v>
      </c>
      <c r="D16" s="25">
        <f t="shared" si="12"/>
        <v>13721.708000000001</v>
      </c>
      <c r="E16" s="25">
        <f t="shared" ref="E16:E22" si="13">C16*$K$4</f>
        <v>13721.708000000001</v>
      </c>
      <c r="F16" s="323">
        <v>3.99</v>
      </c>
      <c r="G16" s="25">
        <f>F16*K4</f>
        <v>18310.907999999999</v>
      </c>
      <c r="H16" s="20">
        <f>SUM(D16:G16)</f>
        <v>45758.313999999998</v>
      </c>
      <c r="I16" s="25">
        <f>F16*K4</f>
        <v>18310.907999999999</v>
      </c>
      <c r="J16" s="25">
        <f>I16</f>
        <v>18310.907999999999</v>
      </c>
      <c r="K16" s="25">
        <f>F16*K4</f>
        <v>18310.907999999999</v>
      </c>
      <c r="L16" s="22">
        <f t="shared" si="11"/>
        <v>54932.724000000002</v>
      </c>
      <c r="M16" s="28">
        <f>K16</f>
        <v>18310.907999999999</v>
      </c>
      <c r="N16" s="28">
        <f>M16</f>
        <v>18310.907999999999</v>
      </c>
      <c r="O16" s="28">
        <f>N16</f>
        <v>18310.907999999999</v>
      </c>
      <c r="P16" s="20">
        <f>SUM(M16:O16)</f>
        <v>54932.724000000002</v>
      </c>
      <c r="Q16" s="28">
        <f>O16</f>
        <v>18310.907999999999</v>
      </c>
      <c r="R16" s="28">
        <f>Q16</f>
        <v>18310.907999999999</v>
      </c>
      <c r="S16" s="28">
        <f>R16</f>
        <v>18310.907999999999</v>
      </c>
      <c r="T16" s="26">
        <f>SUM(Q16:S16)</f>
        <v>54932.724000000002</v>
      </c>
      <c r="U16" s="144">
        <f t="shared" si="10"/>
        <v>210556.48599999998</v>
      </c>
    </row>
    <row r="17" spans="1:22" s="13" customFormat="1" ht="15.75" thickBot="1">
      <c r="A17" s="146" t="s">
        <v>27</v>
      </c>
      <c r="B17" s="33" t="s">
        <v>30</v>
      </c>
      <c r="C17" s="71">
        <v>1.86</v>
      </c>
      <c r="D17" s="34">
        <f t="shared" si="12"/>
        <v>8535.9120000000003</v>
      </c>
      <c r="E17" s="34">
        <f t="shared" si="13"/>
        <v>8535.9120000000003</v>
      </c>
      <c r="F17" s="324">
        <v>2.2000000000000002</v>
      </c>
      <c r="G17" s="34">
        <f>F17*K4</f>
        <v>10096.24</v>
      </c>
      <c r="H17" s="66">
        <f t="shared" ref="H17:H26" si="14">SUM(D17:G17)</f>
        <v>27170.264000000003</v>
      </c>
      <c r="I17" s="34">
        <f>F17*K4</f>
        <v>10096.24</v>
      </c>
      <c r="J17" s="34">
        <f>F17*K4</f>
        <v>10096.24</v>
      </c>
      <c r="K17" s="34">
        <f>F17*K4</f>
        <v>10096.24</v>
      </c>
      <c r="L17" s="84">
        <f t="shared" si="11"/>
        <v>30288.720000000001</v>
      </c>
      <c r="M17" s="58">
        <f>F17*K4</f>
        <v>10096.24</v>
      </c>
      <c r="N17" s="58">
        <f>F17*K4</f>
        <v>10096.24</v>
      </c>
      <c r="O17" s="58">
        <f>F17*K4</f>
        <v>10096.24</v>
      </c>
      <c r="P17" s="66">
        <f t="shared" ref="P17:P26" si="15">SUM(M17:O17)</f>
        <v>30288.720000000001</v>
      </c>
      <c r="Q17" s="58">
        <f>F17*K4</f>
        <v>10096.24</v>
      </c>
      <c r="R17" s="58">
        <f>F17*K4</f>
        <v>10096.24</v>
      </c>
      <c r="S17" s="58">
        <f>F17*K4</f>
        <v>10096.24</v>
      </c>
      <c r="T17" s="35">
        <f t="shared" ref="T17:T26" si="16">SUM(Q17:S17)</f>
        <v>30288.720000000001</v>
      </c>
      <c r="U17" s="147">
        <f t="shared" si="10"/>
        <v>118036.424</v>
      </c>
    </row>
    <row r="18" spans="1:22" s="13" customFormat="1" ht="15.75" thickBot="1">
      <c r="A18" s="36" t="s">
        <v>28</v>
      </c>
      <c r="B18" s="99" t="s">
        <v>40</v>
      </c>
      <c r="C18" s="72"/>
      <c r="D18" s="38">
        <v>7157</v>
      </c>
      <c r="E18" s="38">
        <v>30708</v>
      </c>
      <c r="F18" s="328"/>
      <c r="G18" s="38">
        <v>519</v>
      </c>
      <c r="H18" s="67">
        <f t="shared" si="14"/>
        <v>38384</v>
      </c>
      <c r="I18" s="212">
        <v>71</v>
      </c>
      <c r="J18" s="38">
        <v>520</v>
      </c>
      <c r="K18" s="38">
        <v>1141</v>
      </c>
      <c r="L18" s="69">
        <f t="shared" si="11"/>
        <v>1732</v>
      </c>
      <c r="M18" s="40">
        <v>71</v>
      </c>
      <c r="N18" s="40">
        <v>21369</v>
      </c>
      <c r="O18" s="40">
        <v>119</v>
      </c>
      <c r="P18" s="67">
        <f t="shared" si="15"/>
        <v>21559</v>
      </c>
      <c r="Q18" s="40">
        <v>4612</v>
      </c>
      <c r="R18" s="40">
        <v>2766</v>
      </c>
      <c r="S18" s="40">
        <v>9893</v>
      </c>
      <c r="T18" s="39">
        <f t="shared" si="16"/>
        <v>17271</v>
      </c>
      <c r="U18" s="73">
        <f t="shared" si="10"/>
        <v>78946</v>
      </c>
    </row>
    <row r="19" spans="1:22" s="13" customFormat="1">
      <c r="A19" s="148" t="s">
        <v>33</v>
      </c>
      <c r="B19" s="45" t="s">
        <v>39</v>
      </c>
      <c r="C19" s="80">
        <v>0.82</v>
      </c>
      <c r="D19" s="46">
        <f t="shared" si="12"/>
        <v>3763.1439999999998</v>
      </c>
      <c r="E19" s="46">
        <f t="shared" si="13"/>
        <v>3763.1439999999998</v>
      </c>
      <c r="F19" s="329">
        <v>1</v>
      </c>
      <c r="G19" s="46">
        <f>F19*K4</f>
        <v>4589.2</v>
      </c>
      <c r="H19" s="98">
        <f t="shared" si="14"/>
        <v>12116.487999999999</v>
      </c>
      <c r="I19" s="46">
        <f>G19</f>
        <v>4589.2</v>
      </c>
      <c r="J19" s="46">
        <f t="shared" ref="J19:K21" si="17">I19</f>
        <v>4589.2</v>
      </c>
      <c r="K19" s="46">
        <f t="shared" si="17"/>
        <v>4589.2</v>
      </c>
      <c r="L19" s="85">
        <f t="shared" si="11"/>
        <v>13767.599999999999</v>
      </c>
      <c r="M19" s="76">
        <f>K19</f>
        <v>4589.2</v>
      </c>
      <c r="N19" s="76">
        <f t="shared" ref="N19:O21" si="18">M19</f>
        <v>4589.2</v>
      </c>
      <c r="O19" s="76">
        <f t="shared" si="18"/>
        <v>4589.2</v>
      </c>
      <c r="P19" s="98">
        <f t="shared" si="15"/>
        <v>13767.599999999999</v>
      </c>
      <c r="Q19" s="76">
        <f>O19</f>
        <v>4589.2</v>
      </c>
      <c r="R19" s="76">
        <f t="shared" ref="R19:S21" si="19">Q19</f>
        <v>4589.2</v>
      </c>
      <c r="S19" s="76">
        <f t="shared" si="19"/>
        <v>4589.2</v>
      </c>
      <c r="T19" s="47">
        <f t="shared" si="16"/>
        <v>13767.599999999999</v>
      </c>
      <c r="U19" s="149">
        <f t="shared" si="10"/>
        <v>53419.287999999993</v>
      </c>
    </row>
    <row r="20" spans="1:22" s="13" customFormat="1">
      <c r="A20" s="143" t="s">
        <v>34</v>
      </c>
      <c r="B20" s="15" t="s">
        <v>41</v>
      </c>
      <c r="C20" s="70">
        <v>0.12</v>
      </c>
      <c r="D20" s="25">
        <f t="shared" si="12"/>
        <v>550.70399999999995</v>
      </c>
      <c r="E20" s="25">
        <f>D20</f>
        <v>550.70399999999995</v>
      </c>
      <c r="F20" s="323">
        <v>0.2</v>
      </c>
      <c r="G20" s="25">
        <f>F20*K4</f>
        <v>917.84</v>
      </c>
      <c r="H20" s="20">
        <f t="shared" si="14"/>
        <v>2019.4479999999999</v>
      </c>
      <c r="I20" s="25">
        <f>G20</f>
        <v>917.84</v>
      </c>
      <c r="J20" s="25">
        <f t="shared" si="17"/>
        <v>917.84</v>
      </c>
      <c r="K20" s="25">
        <f t="shared" si="17"/>
        <v>917.84</v>
      </c>
      <c r="L20" s="22">
        <f t="shared" si="11"/>
        <v>2753.52</v>
      </c>
      <c r="M20" s="28">
        <f>K20</f>
        <v>917.84</v>
      </c>
      <c r="N20" s="28">
        <f t="shared" si="18"/>
        <v>917.84</v>
      </c>
      <c r="O20" s="28">
        <f t="shared" si="18"/>
        <v>917.84</v>
      </c>
      <c r="P20" s="20">
        <f t="shared" si="15"/>
        <v>2753.52</v>
      </c>
      <c r="Q20" s="28">
        <f>O20</f>
        <v>917.84</v>
      </c>
      <c r="R20" s="28">
        <f t="shared" si="19"/>
        <v>917.84</v>
      </c>
      <c r="S20" s="28">
        <f t="shared" si="19"/>
        <v>917.84</v>
      </c>
      <c r="T20" s="26">
        <f t="shared" si="16"/>
        <v>2753.52</v>
      </c>
      <c r="U20" s="144">
        <f t="shared" si="10"/>
        <v>10280.008</v>
      </c>
    </row>
    <row r="21" spans="1:22" s="13" customFormat="1">
      <c r="A21" s="143" t="s">
        <v>35</v>
      </c>
      <c r="B21" s="15" t="s">
        <v>123</v>
      </c>
      <c r="C21" s="70"/>
      <c r="D21" s="25"/>
      <c r="E21" s="25"/>
      <c r="F21" s="323">
        <v>1.5</v>
      </c>
      <c r="G21" s="25">
        <f>F21*K4</f>
        <v>6883.7999999999993</v>
      </c>
      <c r="H21" s="20">
        <f>G21+E21+D21</f>
        <v>6883.7999999999993</v>
      </c>
      <c r="I21" s="25">
        <f>G21</f>
        <v>6883.7999999999993</v>
      </c>
      <c r="J21" s="25">
        <f t="shared" si="17"/>
        <v>6883.7999999999993</v>
      </c>
      <c r="K21" s="25">
        <f t="shared" si="17"/>
        <v>6883.7999999999993</v>
      </c>
      <c r="L21" s="22">
        <f>K21+J21+I21</f>
        <v>20651.399999999998</v>
      </c>
      <c r="M21" s="28">
        <f>K21</f>
        <v>6883.7999999999993</v>
      </c>
      <c r="N21" s="28">
        <f t="shared" si="18"/>
        <v>6883.7999999999993</v>
      </c>
      <c r="O21" s="28">
        <f t="shared" si="18"/>
        <v>6883.7999999999993</v>
      </c>
      <c r="P21" s="20">
        <f>O21+N21+M21</f>
        <v>20651.399999999998</v>
      </c>
      <c r="Q21" s="28">
        <f>O21</f>
        <v>6883.7999999999993</v>
      </c>
      <c r="R21" s="28">
        <f t="shared" si="19"/>
        <v>6883.7999999999993</v>
      </c>
      <c r="S21" s="28">
        <f t="shared" si="19"/>
        <v>6883.7999999999993</v>
      </c>
      <c r="T21" s="26">
        <f>S21+R21+Q21</f>
        <v>20651.399999999998</v>
      </c>
      <c r="U21" s="144">
        <f t="shared" si="10"/>
        <v>68837.999999999985</v>
      </c>
    </row>
    <row r="22" spans="1:22" s="13" customFormat="1">
      <c r="A22" s="143" t="s">
        <v>124</v>
      </c>
      <c r="B22" s="15" t="s">
        <v>89</v>
      </c>
      <c r="C22" s="70"/>
      <c r="D22" s="25">
        <f t="shared" si="12"/>
        <v>0</v>
      </c>
      <c r="E22" s="25">
        <f t="shared" si="13"/>
        <v>0</v>
      </c>
      <c r="F22" s="323"/>
      <c r="G22" s="25">
        <f t="shared" ref="G22" si="20">C22*$K$4</f>
        <v>0</v>
      </c>
      <c r="H22" s="20">
        <f t="shared" si="14"/>
        <v>0</v>
      </c>
      <c r="I22" s="25">
        <f t="shared" ref="I22" si="21">C22*$K$4</f>
        <v>0</v>
      </c>
      <c r="J22" s="25">
        <f>I22</f>
        <v>0</v>
      </c>
      <c r="K22" s="25">
        <v>0</v>
      </c>
      <c r="L22" s="22">
        <f t="shared" si="11"/>
        <v>0</v>
      </c>
      <c r="M22" s="28">
        <v>0</v>
      </c>
      <c r="N22" s="28">
        <v>0</v>
      </c>
      <c r="O22" s="28">
        <v>0</v>
      </c>
      <c r="P22" s="20">
        <f t="shared" si="15"/>
        <v>0</v>
      </c>
      <c r="Q22" s="28">
        <v>0</v>
      </c>
      <c r="R22" s="28">
        <v>0</v>
      </c>
      <c r="S22" s="28">
        <v>0</v>
      </c>
      <c r="T22" s="26">
        <f t="shared" si="16"/>
        <v>0</v>
      </c>
      <c r="U22" s="144">
        <f t="shared" si="10"/>
        <v>0</v>
      </c>
    </row>
    <row r="23" spans="1:22" s="13" customFormat="1">
      <c r="A23" s="143" t="s">
        <v>125</v>
      </c>
      <c r="B23" s="15" t="s">
        <v>90</v>
      </c>
      <c r="C23" s="78"/>
      <c r="D23" s="25">
        <f>SUM(D25:D26)</f>
        <v>0</v>
      </c>
      <c r="E23" s="25">
        <f>SUM(E25:E26)</f>
        <v>0</v>
      </c>
      <c r="F23" s="327"/>
      <c r="G23" s="25">
        <f>SUM(G25:G26)</f>
        <v>0</v>
      </c>
      <c r="H23" s="20">
        <f t="shared" si="14"/>
        <v>0</v>
      </c>
      <c r="I23" s="25">
        <f>SUM(I25:I26)</f>
        <v>0</v>
      </c>
      <c r="J23" s="25">
        <f>I23</f>
        <v>0</v>
      </c>
      <c r="K23" s="29">
        <f>SUM(K25:K26)</f>
        <v>568.69000000000005</v>
      </c>
      <c r="L23" s="22">
        <f t="shared" si="11"/>
        <v>568.69000000000005</v>
      </c>
      <c r="M23" s="28">
        <f>SUM(M25:M26)</f>
        <v>0</v>
      </c>
      <c r="N23" s="28">
        <f>SUM(N25:N26)</f>
        <v>0</v>
      </c>
      <c r="O23" s="28">
        <f>SUM(O25:O26)</f>
        <v>0</v>
      </c>
      <c r="P23" s="20">
        <f t="shared" si="15"/>
        <v>0</v>
      </c>
      <c r="Q23" s="28">
        <f>SUM(Q25:Q26)</f>
        <v>0</v>
      </c>
      <c r="R23" s="28">
        <f>SUM(R25:R26)</f>
        <v>0</v>
      </c>
      <c r="S23" s="30">
        <f>SUM(S25:S26)</f>
        <v>0</v>
      </c>
      <c r="T23" s="26">
        <f t="shared" si="16"/>
        <v>0</v>
      </c>
      <c r="U23" s="144">
        <f t="shared" si="10"/>
        <v>568.69000000000005</v>
      </c>
    </row>
    <row r="24" spans="1:22" s="13" customFormat="1">
      <c r="A24" s="143"/>
      <c r="B24" s="15" t="s">
        <v>44</v>
      </c>
      <c r="C24" s="78"/>
      <c r="D24" s="25"/>
      <c r="E24" s="25"/>
      <c r="F24" s="327"/>
      <c r="G24" s="25"/>
      <c r="H24" s="20">
        <f t="shared" si="14"/>
        <v>0</v>
      </c>
      <c r="I24" s="25"/>
      <c r="J24" s="25"/>
      <c r="K24" s="25"/>
      <c r="L24" s="22">
        <f t="shared" si="11"/>
        <v>0</v>
      </c>
      <c r="M24" s="28"/>
      <c r="N24" s="28"/>
      <c r="O24" s="28"/>
      <c r="P24" s="20">
        <f t="shared" si="15"/>
        <v>0</v>
      </c>
      <c r="Q24" s="28"/>
      <c r="R24" s="28"/>
      <c r="S24" s="28"/>
      <c r="T24" s="26">
        <f t="shared" si="16"/>
        <v>0</v>
      </c>
      <c r="U24" s="144">
        <f t="shared" si="10"/>
        <v>0</v>
      </c>
    </row>
    <row r="25" spans="1:22" s="13" customFormat="1">
      <c r="A25" s="143"/>
      <c r="B25" s="15" t="s">
        <v>53</v>
      </c>
      <c r="C25" s="78"/>
      <c r="D25" s="25"/>
      <c r="E25" s="25"/>
      <c r="F25" s="327"/>
      <c r="G25" s="25"/>
      <c r="H25" s="20">
        <f t="shared" si="14"/>
        <v>0</v>
      </c>
      <c r="I25" s="25"/>
      <c r="J25" s="25"/>
      <c r="K25" s="25"/>
      <c r="L25" s="22">
        <f t="shared" si="11"/>
        <v>0</v>
      </c>
      <c r="M25" s="28"/>
      <c r="N25" s="28"/>
      <c r="O25" s="28"/>
      <c r="P25" s="20">
        <f t="shared" si="15"/>
        <v>0</v>
      </c>
      <c r="Q25" s="28"/>
      <c r="R25" s="28"/>
      <c r="S25" s="28"/>
      <c r="T25" s="26">
        <f t="shared" si="16"/>
        <v>0</v>
      </c>
      <c r="U25" s="144">
        <f t="shared" si="10"/>
        <v>0</v>
      </c>
    </row>
    <row r="26" spans="1:22" s="13" customFormat="1">
      <c r="A26" s="143"/>
      <c r="B26" s="15" t="s">
        <v>91</v>
      </c>
      <c r="C26" s="78"/>
      <c r="D26" s="25"/>
      <c r="E26" s="25"/>
      <c r="F26" s="327"/>
      <c r="G26" s="25"/>
      <c r="H26" s="20">
        <f t="shared" si="14"/>
        <v>0</v>
      </c>
      <c r="I26" s="25"/>
      <c r="J26" s="25"/>
      <c r="K26" s="29">
        <f>243.36+325.33</f>
        <v>568.69000000000005</v>
      </c>
      <c r="L26" s="22">
        <f t="shared" si="11"/>
        <v>568.69000000000005</v>
      </c>
      <c r="M26" s="28"/>
      <c r="N26" s="28"/>
      <c r="O26" s="28"/>
      <c r="P26" s="20">
        <f t="shared" si="15"/>
        <v>0</v>
      </c>
      <c r="Q26" s="28"/>
      <c r="R26" s="28"/>
      <c r="S26" s="28"/>
      <c r="T26" s="26">
        <f t="shared" si="16"/>
        <v>0</v>
      </c>
      <c r="U26" s="144">
        <f t="shared" si="10"/>
        <v>568.69000000000005</v>
      </c>
    </row>
    <row r="27" spans="1:22" s="13" customFormat="1" ht="15.75" thickBot="1">
      <c r="A27" s="150"/>
      <c r="B27" s="151" t="s">
        <v>43</v>
      </c>
      <c r="C27" s="192"/>
      <c r="D27" s="153"/>
      <c r="E27" s="154"/>
      <c r="F27" s="330"/>
      <c r="G27" s="154"/>
      <c r="H27" s="155">
        <f>H11-H14</f>
        <v>22048.301999999996</v>
      </c>
      <c r="I27" s="154"/>
      <c r="J27" s="154"/>
      <c r="K27" s="154"/>
      <c r="L27" s="155">
        <f>L11-L14</f>
        <v>62193.596000000049</v>
      </c>
      <c r="M27" s="157"/>
      <c r="N27" s="157"/>
      <c r="O27" s="156"/>
      <c r="P27" s="155">
        <f>P11-P14</f>
        <v>33528.206000000035</v>
      </c>
      <c r="Q27" s="156"/>
      <c r="R27" s="156"/>
      <c r="S27" s="156"/>
      <c r="T27" s="157">
        <f>T11-T14</f>
        <v>40992.84600000002</v>
      </c>
      <c r="U27" s="158">
        <f t="shared" si="10"/>
        <v>158762.9500000001</v>
      </c>
      <c r="V27" s="126"/>
    </row>
    <row r="28" spans="1:22" s="13" customFormat="1">
      <c r="E28" s="50"/>
      <c r="F28" s="50"/>
      <c r="H28" s="50"/>
      <c r="L28" s="50"/>
      <c r="P28" s="50"/>
    </row>
    <row r="29" spans="1:22" s="13" customFormat="1"/>
  </sheetData>
  <mergeCells count="4">
    <mergeCell ref="A1:L1"/>
    <mergeCell ref="A2:L2"/>
    <mergeCell ref="A3:L3"/>
    <mergeCell ref="R3:V3"/>
  </mergeCells>
  <pageMargins left="0" right="0" top="0.74803149606299213" bottom="0.74803149606299213" header="0.31496062992125984" footer="0.31496062992125984"/>
  <pageSetup paperSize="9" scale="6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"/>
  <sheetViews>
    <sheetView zoomScaleNormal="100" workbookViewId="0">
      <selection activeCell="T37" sqref="T37:T38"/>
    </sheetView>
  </sheetViews>
  <sheetFormatPr defaultRowHeight="15"/>
  <cols>
    <col min="1" max="1" width="3.85546875" customWidth="1"/>
    <col min="2" max="2" width="35.42578125" customWidth="1"/>
    <col min="3" max="4" width="9.7109375" customWidth="1"/>
    <col min="5" max="5" width="9" customWidth="1"/>
    <col min="6" max="6" width="9.85546875" customWidth="1"/>
    <col min="7" max="9" width="10.140625" customWidth="1"/>
    <col min="10" max="10" width="9.28515625" customWidth="1"/>
    <col min="11" max="29" width="10.140625" customWidth="1"/>
  </cols>
  <sheetData>
    <row r="1" spans="1:22" s="13" customForma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R1" s="13" t="s">
        <v>94</v>
      </c>
    </row>
    <row r="2" spans="1:22" s="13" customFormat="1">
      <c r="A2" s="368" t="s">
        <v>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R2" s="13" t="s">
        <v>95</v>
      </c>
    </row>
    <row r="3" spans="1:22" s="13" customFormat="1">
      <c r="A3" s="374" t="s">
        <v>111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R3" s="373" t="s">
        <v>138</v>
      </c>
      <c r="S3" s="373"/>
      <c r="T3" s="373"/>
      <c r="U3" s="373"/>
      <c r="V3" s="373"/>
    </row>
    <row r="4" spans="1:22" s="13" customFormat="1" ht="15.75" thickBot="1">
      <c r="B4" s="13" t="s">
        <v>67</v>
      </c>
      <c r="K4" s="13">
        <v>4365.8</v>
      </c>
    </row>
    <row r="5" spans="1:22" s="13" customFormat="1">
      <c r="A5" s="134"/>
      <c r="B5" s="135" t="s">
        <v>2</v>
      </c>
      <c r="C5" s="139" t="s">
        <v>93</v>
      </c>
      <c r="D5" s="135" t="s">
        <v>4</v>
      </c>
      <c r="E5" s="135" t="s">
        <v>5</v>
      </c>
      <c r="F5" s="135" t="s">
        <v>6</v>
      </c>
      <c r="G5" s="137" t="s">
        <v>7</v>
      </c>
      <c r="H5" s="139" t="s">
        <v>93</v>
      </c>
      <c r="I5" s="138" t="s">
        <v>8</v>
      </c>
      <c r="J5" s="135" t="s">
        <v>9</v>
      </c>
      <c r="K5" s="135" t="s">
        <v>10</v>
      </c>
      <c r="L5" s="193" t="s">
        <v>11</v>
      </c>
      <c r="M5" s="138" t="s">
        <v>54</v>
      </c>
      <c r="N5" s="135" t="s">
        <v>55</v>
      </c>
      <c r="O5" s="135" t="s">
        <v>56</v>
      </c>
      <c r="P5" s="139" t="s">
        <v>57</v>
      </c>
      <c r="Q5" s="138" t="s">
        <v>63</v>
      </c>
      <c r="R5" s="138" t="s">
        <v>64</v>
      </c>
      <c r="S5" s="138" t="s">
        <v>65</v>
      </c>
      <c r="T5" s="138" t="s">
        <v>66</v>
      </c>
      <c r="U5" s="140" t="s">
        <v>71</v>
      </c>
    </row>
    <row r="6" spans="1:22" s="13" customFormat="1" ht="31.5" customHeight="1">
      <c r="A6" s="143" t="s">
        <v>12</v>
      </c>
      <c r="B6" s="100" t="s">
        <v>13</v>
      </c>
      <c r="C6" s="20"/>
      <c r="D6" s="60">
        <f>SUM(D7:D10)</f>
        <v>69503.535999999993</v>
      </c>
      <c r="E6" s="60">
        <f>SUM(E7:E10)</f>
        <v>69503.535999999993</v>
      </c>
      <c r="F6" s="60">
        <f>SUM(F7:F10)</f>
        <v>69503.535999999993</v>
      </c>
      <c r="G6" s="20">
        <f t="shared" ref="G6:T6" si="0">SUM(G7:G10)</f>
        <v>208510.60800000001</v>
      </c>
      <c r="H6" s="20"/>
      <c r="I6" s="60">
        <f>I7+I8+I9+I10</f>
        <v>69503.535999999993</v>
      </c>
      <c r="J6" s="60">
        <f t="shared" ref="J6:K6" si="1">J7+J8+J9+J10</f>
        <v>69503.535999999993</v>
      </c>
      <c r="K6" s="60">
        <f t="shared" si="1"/>
        <v>69503.535999999993</v>
      </c>
      <c r="L6" s="60">
        <f t="shared" si="0"/>
        <v>208510.60800000001</v>
      </c>
      <c r="M6" s="60">
        <f>SUM(M7:M10)</f>
        <v>69503.535999999993</v>
      </c>
      <c r="N6" s="60">
        <f>SUM(N7:N10)</f>
        <v>69503.535999999993</v>
      </c>
      <c r="O6" s="60">
        <f>SUM(O7:O10)</f>
        <v>69503.535999999993</v>
      </c>
      <c r="P6" s="20">
        <f t="shared" si="0"/>
        <v>208510.60800000001</v>
      </c>
      <c r="Q6" s="60">
        <f>SUM(Q7:Q10)</f>
        <v>69503.535999999993</v>
      </c>
      <c r="R6" s="60">
        <f>SUM(R7:R10)</f>
        <v>69503.535999999993</v>
      </c>
      <c r="S6" s="60">
        <f>SUM(S7:S10)</f>
        <v>69503.535999999993</v>
      </c>
      <c r="T6" s="60">
        <f t="shared" si="0"/>
        <v>208510.60800000001</v>
      </c>
      <c r="U6" s="194">
        <f t="shared" ref="U6:U11" si="2">G6+L6+P6+T6</f>
        <v>834042.43200000003</v>
      </c>
    </row>
    <row r="7" spans="1:22" s="13" customFormat="1">
      <c r="A7" s="143" t="s">
        <v>14</v>
      </c>
      <c r="B7" s="15" t="s">
        <v>15</v>
      </c>
      <c r="C7" s="27">
        <v>10.42</v>
      </c>
      <c r="D7" s="25">
        <f>C7*$K$4</f>
        <v>45491.635999999999</v>
      </c>
      <c r="E7" s="25">
        <f>D7</f>
        <v>45491.635999999999</v>
      </c>
      <c r="F7" s="25">
        <f>E7</f>
        <v>45491.635999999999</v>
      </c>
      <c r="G7" s="20">
        <f>SUM(D7:F7)</f>
        <v>136474.908</v>
      </c>
      <c r="H7" s="27">
        <v>10.37</v>
      </c>
      <c r="I7" s="28">
        <f>H7*K4</f>
        <v>45273.345999999998</v>
      </c>
      <c r="J7" s="25">
        <f>I7</f>
        <v>45273.345999999998</v>
      </c>
      <c r="K7" s="25">
        <f>J7</f>
        <v>45273.345999999998</v>
      </c>
      <c r="L7" s="61">
        <f>SUM(I7:K7)</f>
        <v>135820.038</v>
      </c>
      <c r="M7" s="25">
        <f>K7</f>
        <v>45273.345999999998</v>
      </c>
      <c r="N7" s="25">
        <f>M7</f>
        <v>45273.345999999998</v>
      </c>
      <c r="O7" s="25">
        <f>N7</f>
        <v>45273.345999999998</v>
      </c>
      <c r="P7" s="22">
        <f>SUM(M7:O7)</f>
        <v>135820.038</v>
      </c>
      <c r="Q7" s="28">
        <f>O7</f>
        <v>45273.345999999998</v>
      </c>
      <c r="R7" s="28">
        <f>Q7</f>
        <v>45273.345999999998</v>
      </c>
      <c r="S7" s="28">
        <f>R7</f>
        <v>45273.345999999998</v>
      </c>
      <c r="T7" s="28">
        <f>SUM(Q7:S7)</f>
        <v>135820.038</v>
      </c>
      <c r="U7" s="144">
        <f t="shared" si="2"/>
        <v>543935.022</v>
      </c>
    </row>
    <row r="8" spans="1:22" s="13" customFormat="1">
      <c r="A8" s="143" t="s">
        <v>16</v>
      </c>
      <c r="B8" s="15" t="s">
        <v>17</v>
      </c>
      <c r="C8" s="27">
        <v>2.8</v>
      </c>
      <c r="D8" s="25">
        <f>C8*K4</f>
        <v>12224.24</v>
      </c>
      <c r="E8" s="25">
        <f>C8*K4</f>
        <v>12224.24</v>
      </c>
      <c r="F8" s="25">
        <f>C8*K4</f>
        <v>12224.24</v>
      </c>
      <c r="G8" s="20">
        <f t="shared" ref="G8:G10" si="3">SUM(D8:F8)</f>
        <v>36672.720000000001</v>
      </c>
      <c r="H8" s="27">
        <v>2.8</v>
      </c>
      <c r="I8" s="28">
        <f>C8*K4</f>
        <v>12224.24</v>
      </c>
      <c r="J8" s="25">
        <f>C8*K4</f>
        <v>12224.24</v>
      </c>
      <c r="K8" s="25">
        <f>C8*K4</f>
        <v>12224.24</v>
      </c>
      <c r="L8" s="61">
        <f t="shared" ref="L8:L10" si="4">SUM(I8:K8)</f>
        <v>36672.720000000001</v>
      </c>
      <c r="M8" s="25">
        <f>C8*K4</f>
        <v>12224.24</v>
      </c>
      <c r="N8" s="25">
        <f>C8*K4</f>
        <v>12224.24</v>
      </c>
      <c r="O8" s="25">
        <f>C8*K4</f>
        <v>12224.24</v>
      </c>
      <c r="P8" s="22">
        <f t="shared" ref="P8:P10" si="5">SUM(M8:O8)</f>
        <v>36672.720000000001</v>
      </c>
      <c r="Q8" s="28">
        <f>C8*K4</f>
        <v>12224.24</v>
      </c>
      <c r="R8" s="28">
        <f>C8*K4</f>
        <v>12224.24</v>
      </c>
      <c r="S8" s="28">
        <f>C8*K4</f>
        <v>12224.24</v>
      </c>
      <c r="T8" s="28">
        <f t="shared" ref="T8:T10" si="6">SUM(Q8:S8)</f>
        <v>36672.720000000001</v>
      </c>
      <c r="U8" s="144">
        <f t="shared" si="2"/>
        <v>146690.88</v>
      </c>
    </row>
    <row r="9" spans="1:22" s="13" customFormat="1">
      <c r="A9" s="143" t="s">
        <v>18</v>
      </c>
      <c r="B9" s="15" t="s">
        <v>30</v>
      </c>
      <c r="C9" s="27">
        <v>2.2000000000000002</v>
      </c>
      <c r="D9" s="25">
        <f>C9*K4</f>
        <v>9604.760000000002</v>
      </c>
      <c r="E9" s="25">
        <f>C9*K4</f>
        <v>9604.760000000002</v>
      </c>
      <c r="F9" s="25">
        <f>C9*K4</f>
        <v>9604.760000000002</v>
      </c>
      <c r="G9" s="20">
        <f t="shared" si="3"/>
        <v>28814.280000000006</v>
      </c>
      <c r="H9" s="27">
        <v>2.2000000000000002</v>
      </c>
      <c r="I9" s="28">
        <f>C9*K4</f>
        <v>9604.760000000002</v>
      </c>
      <c r="J9" s="25">
        <f>C9*K4</f>
        <v>9604.760000000002</v>
      </c>
      <c r="K9" s="25">
        <f>C9*K4</f>
        <v>9604.760000000002</v>
      </c>
      <c r="L9" s="61">
        <f t="shared" si="4"/>
        <v>28814.280000000006</v>
      </c>
      <c r="M9" s="25">
        <f>C9*K4</f>
        <v>9604.760000000002</v>
      </c>
      <c r="N9" s="25">
        <f>C9*K4</f>
        <v>9604.760000000002</v>
      </c>
      <c r="O9" s="25">
        <f>N9</f>
        <v>9604.760000000002</v>
      </c>
      <c r="P9" s="22">
        <f t="shared" si="5"/>
        <v>28814.280000000006</v>
      </c>
      <c r="Q9" s="28">
        <f>C9*K4</f>
        <v>9604.760000000002</v>
      </c>
      <c r="R9" s="28">
        <f>C9*K4</f>
        <v>9604.760000000002</v>
      </c>
      <c r="S9" s="28">
        <f>C9*K4</f>
        <v>9604.760000000002</v>
      </c>
      <c r="T9" s="28">
        <f t="shared" si="6"/>
        <v>28814.280000000006</v>
      </c>
      <c r="U9" s="144">
        <f t="shared" si="2"/>
        <v>115257.12000000002</v>
      </c>
    </row>
    <row r="10" spans="1:22" s="13" customFormat="1" ht="15.75" thickBot="1">
      <c r="A10" s="146" t="s">
        <v>102</v>
      </c>
      <c r="B10" s="33" t="s">
        <v>19</v>
      </c>
      <c r="C10" s="48">
        <v>0.5</v>
      </c>
      <c r="D10" s="34">
        <f t="shared" ref="D10" si="7">C10*$K$4</f>
        <v>2182.9</v>
      </c>
      <c r="E10" s="34">
        <f t="shared" ref="E10" si="8">C10*$K$4</f>
        <v>2182.9</v>
      </c>
      <c r="F10" s="34">
        <f t="shared" ref="F10" si="9">C10*$K$4</f>
        <v>2182.9</v>
      </c>
      <c r="G10" s="66">
        <f t="shared" si="3"/>
        <v>6548.7000000000007</v>
      </c>
      <c r="H10" s="48">
        <v>0.55000000000000004</v>
      </c>
      <c r="I10" s="58">
        <f>H10*K4</f>
        <v>2401.1900000000005</v>
      </c>
      <c r="J10" s="34">
        <f>I10</f>
        <v>2401.1900000000005</v>
      </c>
      <c r="K10" s="34">
        <f>J10</f>
        <v>2401.1900000000005</v>
      </c>
      <c r="L10" s="236">
        <f t="shared" si="4"/>
        <v>7203.5700000000015</v>
      </c>
      <c r="M10" s="34">
        <f>K10</f>
        <v>2401.1900000000005</v>
      </c>
      <c r="N10" s="34">
        <f>M10</f>
        <v>2401.1900000000005</v>
      </c>
      <c r="O10" s="34">
        <f>N10</f>
        <v>2401.1900000000005</v>
      </c>
      <c r="P10" s="84">
        <f t="shared" si="5"/>
        <v>7203.5700000000015</v>
      </c>
      <c r="Q10" s="58">
        <f>O10</f>
        <v>2401.1900000000005</v>
      </c>
      <c r="R10" s="58">
        <f>Q10</f>
        <v>2401.1900000000005</v>
      </c>
      <c r="S10" s="58">
        <f>R10</f>
        <v>2401.1900000000005</v>
      </c>
      <c r="T10" s="58">
        <f t="shared" si="6"/>
        <v>7203.5700000000015</v>
      </c>
      <c r="U10" s="147">
        <f t="shared" si="2"/>
        <v>28159.410000000003</v>
      </c>
    </row>
    <row r="11" spans="1:22" s="13" customFormat="1" ht="15.75" thickBot="1">
      <c r="A11" s="36" t="s">
        <v>32</v>
      </c>
      <c r="B11" s="37" t="s">
        <v>20</v>
      </c>
      <c r="C11" s="41"/>
      <c r="D11" s="38">
        <v>56829.72</v>
      </c>
      <c r="E11" s="38">
        <v>56375.38</v>
      </c>
      <c r="F11" s="38">
        <v>80537.11</v>
      </c>
      <c r="G11" s="119">
        <f>SUM(D11:F11)</f>
        <v>193742.21000000002</v>
      </c>
      <c r="H11" s="41"/>
      <c r="I11" s="40">
        <v>78561.490000000005</v>
      </c>
      <c r="J11" s="40">
        <v>78825.05</v>
      </c>
      <c r="K11" s="40">
        <v>71139.27</v>
      </c>
      <c r="L11" s="238">
        <f>SUM(I11:K11)+K12</f>
        <v>233325.81</v>
      </c>
      <c r="M11" s="40">
        <v>58887.11</v>
      </c>
      <c r="N11" s="40">
        <v>64941.33</v>
      </c>
      <c r="O11" s="40">
        <v>74109.850000000006</v>
      </c>
      <c r="P11" s="68">
        <f>SUM(M11:O11)</f>
        <v>197938.29</v>
      </c>
      <c r="Q11" s="40">
        <v>74438.539999999994</v>
      </c>
      <c r="R11" s="40">
        <v>81916.62</v>
      </c>
      <c r="S11" s="40">
        <v>68114.61</v>
      </c>
      <c r="T11" s="40">
        <f>SUM(Q11:S11)+S12</f>
        <v>231069.76999999996</v>
      </c>
      <c r="U11" s="125">
        <f t="shared" si="2"/>
        <v>856076.08000000007</v>
      </c>
    </row>
    <row r="12" spans="1:22" s="13" customFormat="1">
      <c r="A12" s="148"/>
      <c r="B12" s="45" t="s">
        <v>72</v>
      </c>
      <c r="C12" s="89"/>
      <c r="D12" s="46"/>
      <c r="E12" s="46"/>
      <c r="F12" s="46"/>
      <c r="G12" s="98"/>
      <c r="H12" s="89"/>
      <c r="I12" s="76"/>
      <c r="J12" s="46"/>
      <c r="K12" s="232">
        <v>4800</v>
      </c>
      <c r="L12" s="237"/>
      <c r="M12" s="76"/>
      <c r="N12" s="46"/>
      <c r="O12" s="46"/>
      <c r="P12" s="85"/>
      <c r="Q12" s="76"/>
      <c r="R12" s="76"/>
      <c r="S12" s="231">
        <f>4800+1800</f>
        <v>6600</v>
      </c>
      <c r="T12" s="76"/>
      <c r="U12" s="149"/>
    </row>
    <row r="13" spans="1:22" s="13" customFormat="1" ht="15.75" thickBot="1">
      <c r="A13" s="143"/>
      <c r="B13" s="15" t="s">
        <v>21</v>
      </c>
      <c r="C13" s="27"/>
      <c r="D13" s="25">
        <f t="shared" ref="D13:T13" si="10">D11-D6</f>
        <v>-12673.815999999992</v>
      </c>
      <c r="E13" s="25">
        <f t="shared" si="10"/>
        <v>-13128.155999999995</v>
      </c>
      <c r="F13" s="25">
        <f t="shared" si="10"/>
        <v>11033.574000000008</v>
      </c>
      <c r="G13" s="22">
        <f t="shared" si="10"/>
        <v>-14768.397999999986</v>
      </c>
      <c r="H13" s="27"/>
      <c r="I13" s="28">
        <f t="shared" si="10"/>
        <v>9057.9540000000125</v>
      </c>
      <c r="J13" s="25">
        <f t="shared" si="10"/>
        <v>9321.5140000000101</v>
      </c>
      <c r="K13" s="25">
        <f t="shared" si="10"/>
        <v>1635.7340000000113</v>
      </c>
      <c r="L13" s="61">
        <f t="shared" si="10"/>
        <v>24815.20199999999</v>
      </c>
      <c r="M13" s="28">
        <f t="shared" si="10"/>
        <v>-10616.425999999992</v>
      </c>
      <c r="N13" s="25">
        <f t="shared" si="10"/>
        <v>-4562.205999999991</v>
      </c>
      <c r="O13" s="25">
        <f t="shared" si="10"/>
        <v>4606.314000000013</v>
      </c>
      <c r="P13" s="22">
        <f t="shared" si="10"/>
        <v>-10572.317999999999</v>
      </c>
      <c r="Q13" s="28">
        <f t="shared" si="10"/>
        <v>4935.0040000000008</v>
      </c>
      <c r="R13" s="28">
        <f t="shared" si="10"/>
        <v>12413.084000000003</v>
      </c>
      <c r="S13" s="28">
        <f t="shared" si="10"/>
        <v>-1388.9259999999922</v>
      </c>
      <c r="T13" s="28">
        <f t="shared" si="10"/>
        <v>22559.161999999953</v>
      </c>
      <c r="U13" s="144">
        <f t="shared" ref="U13:U34" si="11">G13+L13+P13+T13</f>
        <v>22033.647999999957</v>
      </c>
    </row>
    <row r="14" spans="1:22" s="13" customFormat="1" ht="27.75" customHeight="1" thickBot="1">
      <c r="A14" s="109" t="s">
        <v>22</v>
      </c>
      <c r="B14" s="110" t="s">
        <v>23</v>
      </c>
      <c r="C14" s="41"/>
      <c r="D14" s="111">
        <f>SUM(D15:D23)</f>
        <v>54653.392000000007</v>
      </c>
      <c r="E14" s="111">
        <f>SUM(E15:E23)</f>
        <v>53437.392000000007</v>
      </c>
      <c r="F14" s="111">
        <f>SUM(F15:F23)</f>
        <v>53508.392000000007</v>
      </c>
      <c r="G14" s="67">
        <f>SUM(D14:F14)</f>
        <v>161599.17600000004</v>
      </c>
      <c r="H14" s="41"/>
      <c r="I14" s="111">
        <f>SUM(I15:I23)</f>
        <v>80027.392000000007</v>
      </c>
      <c r="J14" s="111">
        <f>SUM(J15:J23)</f>
        <v>71040.392000000007</v>
      </c>
      <c r="K14" s="111">
        <f>SUM(K15:K23)</f>
        <v>58172.592000000004</v>
      </c>
      <c r="L14" s="63">
        <f>SUM(I14:K14)</f>
        <v>209240.37600000002</v>
      </c>
      <c r="M14" s="111">
        <f>SUM(M15:M23)</f>
        <v>56988.392000000007</v>
      </c>
      <c r="N14" s="111">
        <f>SUM(N15:N23)</f>
        <v>68102.392000000007</v>
      </c>
      <c r="O14" s="111">
        <f>SUM(O15:O23)</f>
        <v>53437.392000000007</v>
      </c>
      <c r="P14" s="67">
        <f>SUM(M14:O14)</f>
        <v>178528.17600000004</v>
      </c>
      <c r="Q14" s="111">
        <f>SUM(Q15:Q23)</f>
        <v>141477.39200000002</v>
      </c>
      <c r="R14" s="111">
        <f>SUM(R15:R23)</f>
        <v>53437.392000000007</v>
      </c>
      <c r="S14" s="111">
        <f>SUM(S15:S23)</f>
        <v>65623.392000000007</v>
      </c>
      <c r="T14" s="63">
        <f>SUM(Q14:S14)</f>
        <v>260538.17600000004</v>
      </c>
      <c r="U14" s="112">
        <f t="shared" si="11"/>
        <v>809905.9040000001</v>
      </c>
    </row>
    <row r="15" spans="1:22" s="13" customFormat="1">
      <c r="A15" s="148" t="s">
        <v>24</v>
      </c>
      <c r="B15" s="45" t="s">
        <v>17</v>
      </c>
      <c r="C15" s="89">
        <v>2.8</v>
      </c>
      <c r="D15" s="46">
        <f t="shared" ref="D15:D22" si="12">C15*$K$4</f>
        <v>12224.24</v>
      </c>
      <c r="E15" s="46">
        <f>C15*K4</f>
        <v>12224.24</v>
      </c>
      <c r="F15" s="46">
        <f>C15*K4</f>
        <v>12224.24</v>
      </c>
      <c r="G15" s="98">
        <f t="shared" ref="G15:G32" si="13">SUM(D15:F15)</f>
        <v>36672.720000000001</v>
      </c>
      <c r="H15" s="89">
        <v>2.8</v>
      </c>
      <c r="I15" s="46">
        <f>C15*K4</f>
        <v>12224.24</v>
      </c>
      <c r="J15" s="46">
        <f>C15*K4</f>
        <v>12224.24</v>
      </c>
      <c r="K15" s="46">
        <f>C15*K4</f>
        <v>12224.24</v>
      </c>
      <c r="L15" s="113">
        <f>SUM(I15:K15)</f>
        <v>36672.720000000001</v>
      </c>
      <c r="M15" s="46">
        <f>C15*K4</f>
        <v>12224.24</v>
      </c>
      <c r="N15" s="46">
        <f>C15*K4</f>
        <v>12224.24</v>
      </c>
      <c r="O15" s="46">
        <f>C15*K4</f>
        <v>12224.24</v>
      </c>
      <c r="P15" s="98">
        <f>SUM(M15:O15)</f>
        <v>36672.720000000001</v>
      </c>
      <c r="Q15" s="46">
        <f>C15*K4</f>
        <v>12224.24</v>
      </c>
      <c r="R15" s="46">
        <f>C15*K4</f>
        <v>12224.24</v>
      </c>
      <c r="S15" s="46">
        <f>C15*K4</f>
        <v>12224.24</v>
      </c>
      <c r="T15" s="47">
        <f>SUM(Q15:S15)</f>
        <v>36672.720000000001</v>
      </c>
      <c r="U15" s="149">
        <f t="shared" si="11"/>
        <v>146690.88</v>
      </c>
    </row>
    <row r="16" spans="1:22" s="13" customFormat="1">
      <c r="A16" s="143" t="s">
        <v>25</v>
      </c>
      <c r="B16" s="15" t="s">
        <v>26</v>
      </c>
      <c r="C16" s="27">
        <v>3.99</v>
      </c>
      <c r="D16" s="25">
        <f>C16*K4</f>
        <v>17419.542000000001</v>
      </c>
      <c r="E16" s="25">
        <f t="shared" ref="E16:E20" si="14">C16*$K$4</f>
        <v>17419.542000000001</v>
      </c>
      <c r="F16" s="25">
        <f t="shared" ref="F16:F21" si="15">C16*$K$4</f>
        <v>17419.542000000001</v>
      </c>
      <c r="G16" s="20">
        <f t="shared" si="13"/>
        <v>52258.626000000004</v>
      </c>
      <c r="H16" s="27">
        <v>3.99</v>
      </c>
      <c r="I16" s="28">
        <f t="shared" ref="I16" si="16">C16*$K$4</f>
        <v>17419.542000000001</v>
      </c>
      <c r="J16" s="25">
        <f>C16*$K$4</f>
        <v>17419.542000000001</v>
      </c>
      <c r="K16" s="25">
        <f t="shared" ref="K16:K21" si="17">C16*$K$4</f>
        <v>17419.542000000001</v>
      </c>
      <c r="L16" s="60">
        <f>SUM(I16:K16)</f>
        <v>52258.626000000004</v>
      </c>
      <c r="M16" s="25">
        <f t="shared" ref="M16" si="18">C16*$K$4</f>
        <v>17419.542000000001</v>
      </c>
      <c r="N16" s="25">
        <f t="shared" ref="N16" si="19">C16*$K$4</f>
        <v>17419.542000000001</v>
      </c>
      <c r="O16" s="25">
        <f>N16</f>
        <v>17419.542000000001</v>
      </c>
      <c r="P16" s="20">
        <f>SUM(M16:O16)</f>
        <v>52258.626000000004</v>
      </c>
      <c r="Q16" s="28">
        <f>O16</f>
        <v>17419.542000000001</v>
      </c>
      <c r="R16" s="28">
        <f>Q16</f>
        <v>17419.542000000001</v>
      </c>
      <c r="S16" s="28">
        <f>R16</f>
        <v>17419.542000000001</v>
      </c>
      <c r="T16" s="26">
        <f>SUM(Q16:S16)</f>
        <v>52258.626000000004</v>
      </c>
      <c r="U16" s="144">
        <f t="shared" si="11"/>
        <v>209034.50400000002</v>
      </c>
    </row>
    <row r="17" spans="1:21" s="13" customFormat="1" ht="15.75" thickBot="1">
      <c r="A17" s="146" t="s">
        <v>27</v>
      </c>
      <c r="B17" s="33" t="s">
        <v>30</v>
      </c>
      <c r="C17" s="48">
        <v>2.2000000000000002</v>
      </c>
      <c r="D17" s="34">
        <f t="shared" ref="D17" si="20">C17*$K$4</f>
        <v>9604.760000000002</v>
      </c>
      <c r="E17" s="34">
        <f>C17*K4</f>
        <v>9604.760000000002</v>
      </c>
      <c r="F17" s="34">
        <f>C17*K4</f>
        <v>9604.760000000002</v>
      </c>
      <c r="G17" s="66">
        <f t="shared" si="13"/>
        <v>28814.280000000006</v>
      </c>
      <c r="H17" s="48">
        <v>2.2000000000000002</v>
      </c>
      <c r="I17" s="58">
        <f>C17*K4</f>
        <v>9604.760000000002</v>
      </c>
      <c r="J17" s="34">
        <f>C17*K4</f>
        <v>9604.760000000002</v>
      </c>
      <c r="K17" s="34">
        <f>C17*K4</f>
        <v>9604.760000000002</v>
      </c>
      <c r="L17" s="62">
        <f t="shared" ref="L17:L33" si="21">SUM(I17:K17)</f>
        <v>28814.280000000006</v>
      </c>
      <c r="M17" s="34">
        <f>C17*K4</f>
        <v>9604.760000000002</v>
      </c>
      <c r="N17" s="34">
        <f>C17*K4</f>
        <v>9604.760000000002</v>
      </c>
      <c r="O17" s="34">
        <f>C17*K4</f>
        <v>9604.760000000002</v>
      </c>
      <c r="P17" s="66">
        <f t="shared" ref="P17:P33" si="22">SUM(M17:O17)</f>
        <v>28814.280000000006</v>
      </c>
      <c r="Q17" s="58">
        <f>C17*K4</f>
        <v>9604.760000000002</v>
      </c>
      <c r="R17" s="58">
        <f>C17*K4</f>
        <v>9604.760000000002</v>
      </c>
      <c r="S17" s="58">
        <f>C17*K4</f>
        <v>9604.760000000002</v>
      </c>
      <c r="T17" s="35">
        <f t="shared" ref="T17:T33" si="23">SUM(Q17:S17)</f>
        <v>28814.280000000006</v>
      </c>
      <c r="U17" s="147">
        <f t="shared" si="11"/>
        <v>115257.12000000002</v>
      </c>
    </row>
    <row r="18" spans="1:21" s="13" customFormat="1" ht="15.75" thickBot="1">
      <c r="A18" s="101" t="s">
        <v>28</v>
      </c>
      <c r="B18" s="59" t="s">
        <v>40</v>
      </c>
      <c r="C18" s="41"/>
      <c r="D18" s="38">
        <v>1216</v>
      </c>
      <c r="E18" s="38">
        <v>0</v>
      </c>
      <c r="F18" s="38">
        <v>71</v>
      </c>
      <c r="G18" s="119">
        <f t="shared" si="13"/>
        <v>1287</v>
      </c>
      <c r="H18" s="41"/>
      <c r="I18" s="40">
        <v>26590</v>
      </c>
      <c r="J18" s="38">
        <v>17603</v>
      </c>
      <c r="K18" s="38">
        <v>2678</v>
      </c>
      <c r="L18" s="127">
        <f t="shared" si="21"/>
        <v>46871</v>
      </c>
      <c r="M18" s="40">
        <v>3551</v>
      </c>
      <c r="N18" s="38">
        <v>14665</v>
      </c>
      <c r="O18" s="38">
        <v>0</v>
      </c>
      <c r="P18" s="119">
        <f t="shared" si="22"/>
        <v>18216</v>
      </c>
      <c r="Q18" s="40">
        <v>88040</v>
      </c>
      <c r="R18" s="40">
        <v>0</v>
      </c>
      <c r="S18" s="40">
        <v>12186</v>
      </c>
      <c r="T18" s="115">
        <f t="shared" si="23"/>
        <v>100226</v>
      </c>
      <c r="U18" s="125">
        <f t="shared" si="11"/>
        <v>166600</v>
      </c>
    </row>
    <row r="19" spans="1:21" s="13" customFormat="1">
      <c r="A19" s="148" t="s">
        <v>33</v>
      </c>
      <c r="B19" s="45" t="s">
        <v>39</v>
      </c>
      <c r="C19" s="89">
        <v>1</v>
      </c>
      <c r="D19" s="46">
        <f>C19*K4</f>
        <v>4365.8</v>
      </c>
      <c r="E19" s="46">
        <f t="shared" si="14"/>
        <v>4365.8</v>
      </c>
      <c r="F19" s="46">
        <f t="shared" si="15"/>
        <v>4365.8</v>
      </c>
      <c r="G19" s="98">
        <f t="shared" si="13"/>
        <v>13097.400000000001</v>
      </c>
      <c r="H19" s="89">
        <v>1</v>
      </c>
      <c r="I19" s="76">
        <f t="shared" ref="I19:I21" si="24">C19*$K$4</f>
        <v>4365.8</v>
      </c>
      <c r="J19" s="46">
        <f t="shared" ref="J19:J20" si="25">C19*$K$4</f>
        <v>4365.8</v>
      </c>
      <c r="K19" s="75">
        <f t="shared" si="17"/>
        <v>4365.8</v>
      </c>
      <c r="L19" s="114">
        <f t="shared" si="21"/>
        <v>13097.400000000001</v>
      </c>
      <c r="M19" s="46">
        <f t="shared" ref="M19:M21" si="26">C19*$K$4</f>
        <v>4365.8</v>
      </c>
      <c r="N19" s="46">
        <f t="shared" ref="N19:N21" si="27">C19*$K$4</f>
        <v>4365.8</v>
      </c>
      <c r="O19" s="46">
        <f>N19</f>
        <v>4365.8</v>
      </c>
      <c r="P19" s="124">
        <f t="shared" si="22"/>
        <v>13097.400000000001</v>
      </c>
      <c r="Q19" s="76">
        <f>O19</f>
        <v>4365.8</v>
      </c>
      <c r="R19" s="76">
        <f>Q19</f>
        <v>4365.8</v>
      </c>
      <c r="S19" s="76">
        <f>R19</f>
        <v>4365.8</v>
      </c>
      <c r="T19" s="77">
        <f t="shared" si="23"/>
        <v>13097.400000000001</v>
      </c>
      <c r="U19" s="149">
        <f t="shared" si="11"/>
        <v>52389.600000000006</v>
      </c>
    </row>
    <row r="20" spans="1:21" s="13" customFormat="1">
      <c r="A20" s="143" t="s">
        <v>34</v>
      </c>
      <c r="B20" s="15" t="s">
        <v>41</v>
      </c>
      <c r="C20" s="27">
        <v>0.2</v>
      </c>
      <c r="D20" s="25">
        <f t="shared" si="12"/>
        <v>873.16000000000008</v>
      </c>
      <c r="E20" s="25">
        <f t="shared" si="14"/>
        <v>873.16000000000008</v>
      </c>
      <c r="F20" s="25">
        <f t="shared" si="15"/>
        <v>873.16000000000008</v>
      </c>
      <c r="G20" s="20">
        <f t="shared" si="13"/>
        <v>2619.4800000000005</v>
      </c>
      <c r="H20" s="27">
        <v>0.2</v>
      </c>
      <c r="I20" s="28">
        <f t="shared" si="24"/>
        <v>873.16000000000008</v>
      </c>
      <c r="J20" s="25">
        <f t="shared" si="25"/>
        <v>873.16000000000008</v>
      </c>
      <c r="K20" s="34">
        <f t="shared" si="17"/>
        <v>873.16000000000008</v>
      </c>
      <c r="L20" s="62">
        <f t="shared" si="21"/>
        <v>2619.4800000000005</v>
      </c>
      <c r="M20" s="25">
        <f t="shared" si="26"/>
        <v>873.16000000000008</v>
      </c>
      <c r="N20" s="25">
        <f t="shared" si="27"/>
        <v>873.16000000000008</v>
      </c>
      <c r="O20" s="25">
        <f t="shared" ref="O20" si="28">C20*$K$4</f>
        <v>873.16000000000008</v>
      </c>
      <c r="P20" s="66">
        <f t="shared" si="22"/>
        <v>2619.4800000000005</v>
      </c>
      <c r="Q20" s="28">
        <f t="shared" ref="Q20" si="29">C20*$K$4</f>
        <v>873.16000000000008</v>
      </c>
      <c r="R20" s="28">
        <f t="shared" ref="R20" si="30">C20*$K$4</f>
        <v>873.16000000000008</v>
      </c>
      <c r="S20" s="28">
        <f t="shared" ref="S20" si="31">C20*$K$4</f>
        <v>873.16000000000008</v>
      </c>
      <c r="T20" s="35">
        <f t="shared" si="23"/>
        <v>2619.4800000000005</v>
      </c>
      <c r="U20" s="144">
        <f t="shared" si="11"/>
        <v>10477.920000000002</v>
      </c>
    </row>
    <row r="21" spans="1:21" s="13" customFormat="1">
      <c r="A21" s="143" t="s">
        <v>35</v>
      </c>
      <c r="B21" s="15" t="s">
        <v>89</v>
      </c>
      <c r="C21" s="27">
        <v>0.55000000000000004</v>
      </c>
      <c r="D21" s="25">
        <f>C21*K4</f>
        <v>2401.1900000000005</v>
      </c>
      <c r="E21" s="25">
        <f>D21</f>
        <v>2401.1900000000005</v>
      </c>
      <c r="F21" s="25">
        <f t="shared" si="15"/>
        <v>2401.1900000000005</v>
      </c>
      <c r="G21" s="20">
        <f t="shared" si="13"/>
        <v>7203.5700000000015</v>
      </c>
      <c r="H21" s="27">
        <v>0.55000000000000004</v>
      </c>
      <c r="I21" s="28">
        <f t="shared" si="24"/>
        <v>2401.1900000000005</v>
      </c>
      <c r="J21" s="25">
        <f t="shared" ref="J21" si="32">C21*$K$4</f>
        <v>2401.1900000000005</v>
      </c>
      <c r="K21" s="25">
        <f t="shared" si="17"/>
        <v>2401.1900000000005</v>
      </c>
      <c r="L21" s="62">
        <f t="shared" si="21"/>
        <v>7203.5700000000015</v>
      </c>
      <c r="M21" s="25">
        <f t="shared" si="26"/>
        <v>2401.1900000000005</v>
      </c>
      <c r="N21" s="25">
        <f t="shared" si="27"/>
        <v>2401.1900000000005</v>
      </c>
      <c r="O21" s="25">
        <f>N21</f>
        <v>2401.1900000000005</v>
      </c>
      <c r="P21" s="66">
        <f t="shared" si="22"/>
        <v>7203.5700000000015</v>
      </c>
      <c r="Q21" s="28">
        <f>O21</f>
        <v>2401.1900000000005</v>
      </c>
      <c r="R21" s="28">
        <f>Q21</f>
        <v>2401.1900000000005</v>
      </c>
      <c r="S21" s="28">
        <f>R21</f>
        <v>2401.1900000000005</v>
      </c>
      <c r="T21" s="35">
        <f t="shared" si="23"/>
        <v>7203.5700000000015</v>
      </c>
      <c r="U21" s="144">
        <f t="shared" si="11"/>
        <v>28814.280000000006</v>
      </c>
    </row>
    <row r="22" spans="1:21" s="13" customFormat="1">
      <c r="A22" s="143" t="s">
        <v>124</v>
      </c>
      <c r="B22" s="15" t="s">
        <v>123</v>
      </c>
      <c r="C22" s="27">
        <v>1.5</v>
      </c>
      <c r="D22" s="25">
        <f t="shared" si="12"/>
        <v>6548.7000000000007</v>
      </c>
      <c r="E22" s="25">
        <f>D22</f>
        <v>6548.7000000000007</v>
      </c>
      <c r="F22" s="25">
        <f>E22</f>
        <v>6548.7000000000007</v>
      </c>
      <c r="G22" s="20">
        <f>SUM(D22:F22)</f>
        <v>19646.100000000002</v>
      </c>
      <c r="H22" s="27">
        <v>1.5</v>
      </c>
      <c r="I22" s="28">
        <f>F22</f>
        <v>6548.7000000000007</v>
      </c>
      <c r="J22" s="25">
        <f>I22</f>
        <v>6548.7000000000007</v>
      </c>
      <c r="K22" s="25">
        <f>J22</f>
        <v>6548.7000000000007</v>
      </c>
      <c r="L22" s="62">
        <f>SUM(I22:K22)</f>
        <v>19646.100000000002</v>
      </c>
      <c r="M22" s="25">
        <f>K22</f>
        <v>6548.7000000000007</v>
      </c>
      <c r="N22" s="25">
        <f>M22</f>
        <v>6548.7000000000007</v>
      </c>
      <c r="O22" s="25">
        <f>N22</f>
        <v>6548.7000000000007</v>
      </c>
      <c r="P22" s="66">
        <f>SUM(M22:O22)</f>
        <v>19646.100000000002</v>
      </c>
      <c r="Q22" s="28">
        <f>O22</f>
        <v>6548.7000000000007</v>
      </c>
      <c r="R22" s="28">
        <f>Q22</f>
        <v>6548.7000000000007</v>
      </c>
      <c r="S22" s="28">
        <f>R22</f>
        <v>6548.7000000000007</v>
      </c>
      <c r="T22" s="35">
        <f>SUM(Q22:S22)</f>
        <v>19646.100000000002</v>
      </c>
      <c r="U22" s="144">
        <f t="shared" si="11"/>
        <v>78584.400000000009</v>
      </c>
    </row>
    <row r="23" spans="1:21" s="13" customFormat="1">
      <c r="A23" s="143" t="s">
        <v>125</v>
      </c>
      <c r="B23" s="15" t="s">
        <v>84</v>
      </c>
      <c r="C23" s="27"/>
      <c r="D23" s="25">
        <f>SUM(D25:D33)</f>
        <v>0</v>
      </c>
      <c r="E23" s="25">
        <f t="shared" ref="E23:K23" si="33">SUM(E25:E33)</f>
        <v>0</v>
      </c>
      <c r="F23" s="25">
        <f t="shared" si="33"/>
        <v>0</v>
      </c>
      <c r="G23" s="20">
        <f t="shared" si="13"/>
        <v>0</v>
      </c>
      <c r="H23" s="27"/>
      <c r="I23" s="28">
        <f t="shared" si="33"/>
        <v>0</v>
      </c>
      <c r="J23" s="25">
        <f t="shared" si="33"/>
        <v>0</v>
      </c>
      <c r="K23" s="29">
        <f t="shared" si="33"/>
        <v>2057.1999999999998</v>
      </c>
      <c r="L23" s="62">
        <f t="shared" si="21"/>
        <v>2057.1999999999998</v>
      </c>
      <c r="M23" s="25">
        <f t="shared" ref="M23:O23" si="34">SUM(M25:M33)</f>
        <v>0</v>
      </c>
      <c r="N23" s="25">
        <f t="shared" si="34"/>
        <v>0</v>
      </c>
      <c r="O23" s="25">
        <f t="shared" si="34"/>
        <v>0</v>
      </c>
      <c r="P23" s="66">
        <f t="shared" si="22"/>
        <v>0</v>
      </c>
      <c r="Q23" s="28">
        <f t="shared" ref="Q23:S23" si="35">SUM(Q25:Q33)</f>
        <v>0</v>
      </c>
      <c r="R23" s="28">
        <f t="shared" si="35"/>
        <v>0</v>
      </c>
      <c r="S23" s="30">
        <f t="shared" si="35"/>
        <v>0</v>
      </c>
      <c r="T23" s="35">
        <f t="shared" si="23"/>
        <v>0</v>
      </c>
      <c r="U23" s="144">
        <f t="shared" si="11"/>
        <v>2057.1999999999998</v>
      </c>
    </row>
    <row r="24" spans="1:21" s="13" customFormat="1">
      <c r="A24" s="143"/>
      <c r="B24" s="15" t="s">
        <v>42</v>
      </c>
      <c r="C24" s="27"/>
      <c r="D24" s="25"/>
      <c r="E24" s="25"/>
      <c r="F24" s="25"/>
      <c r="G24" s="20">
        <f t="shared" si="13"/>
        <v>0</v>
      </c>
      <c r="H24" s="27"/>
      <c r="I24" s="28"/>
      <c r="J24" s="25"/>
      <c r="K24" s="25"/>
      <c r="L24" s="62">
        <f t="shared" si="21"/>
        <v>0</v>
      </c>
      <c r="M24" s="28"/>
      <c r="N24" s="25"/>
      <c r="O24" s="25"/>
      <c r="P24" s="66">
        <f t="shared" si="22"/>
        <v>0</v>
      </c>
      <c r="Q24" s="28"/>
      <c r="R24" s="28"/>
      <c r="S24" s="28"/>
      <c r="T24" s="35">
        <f t="shared" si="23"/>
        <v>0</v>
      </c>
      <c r="U24" s="144">
        <f t="shared" si="11"/>
        <v>0</v>
      </c>
    </row>
    <row r="25" spans="1:21" s="13" customFormat="1">
      <c r="A25" s="143"/>
      <c r="B25" s="15" t="s">
        <v>46</v>
      </c>
      <c r="C25" s="27"/>
      <c r="D25" s="25"/>
      <c r="E25" s="25"/>
      <c r="F25" s="25"/>
      <c r="G25" s="20">
        <f t="shared" si="13"/>
        <v>0</v>
      </c>
      <c r="H25" s="27"/>
      <c r="I25" s="28"/>
      <c r="J25" s="25"/>
      <c r="K25" s="25"/>
      <c r="L25" s="62">
        <f t="shared" si="21"/>
        <v>0</v>
      </c>
      <c r="M25" s="28"/>
      <c r="N25" s="25"/>
      <c r="O25" s="25"/>
      <c r="P25" s="66">
        <f t="shared" si="22"/>
        <v>0</v>
      </c>
      <c r="Q25" s="28"/>
      <c r="R25" s="28"/>
      <c r="S25" s="28"/>
      <c r="T25" s="35">
        <f t="shared" si="23"/>
        <v>0</v>
      </c>
      <c r="U25" s="144">
        <f t="shared" si="11"/>
        <v>0</v>
      </c>
    </row>
    <row r="26" spans="1:21" s="13" customFormat="1">
      <c r="A26" s="143"/>
      <c r="B26" s="15" t="s">
        <v>48</v>
      </c>
      <c r="C26" s="27"/>
      <c r="D26" s="25"/>
      <c r="E26" s="25"/>
      <c r="F26" s="25"/>
      <c r="G26" s="20">
        <f t="shared" si="13"/>
        <v>0</v>
      </c>
      <c r="H26" s="27"/>
      <c r="I26" s="28"/>
      <c r="J26" s="25"/>
      <c r="K26" s="25"/>
      <c r="L26" s="62">
        <f t="shared" si="21"/>
        <v>0</v>
      </c>
      <c r="M26" s="28"/>
      <c r="N26" s="25"/>
      <c r="O26" s="25"/>
      <c r="P26" s="66">
        <f t="shared" si="22"/>
        <v>0</v>
      </c>
      <c r="Q26" s="28"/>
      <c r="R26" s="28"/>
      <c r="S26" s="28"/>
      <c r="T26" s="35">
        <f t="shared" si="23"/>
        <v>0</v>
      </c>
      <c r="U26" s="144">
        <f t="shared" si="11"/>
        <v>0</v>
      </c>
    </row>
    <row r="27" spans="1:21" s="13" customFormat="1">
      <c r="A27" s="143"/>
      <c r="B27" s="15" t="s">
        <v>49</v>
      </c>
      <c r="C27" s="27"/>
      <c r="D27" s="25"/>
      <c r="E27" s="25"/>
      <c r="F27" s="25"/>
      <c r="G27" s="20">
        <f t="shared" si="13"/>
        <v>0</v>
      </c>
      <c r="H27" s="27"/>
      <c r="I27" s="28"/>
      <c r="J27" s="25"/>
      <c r="K27" s="25"/>
      <c r="L27" s="62">
        <f t="shared" si="21"/>
        <v>0</v>
      </c>
      <c r="M27" s="28"/>
      <c r="N27" s="25"/>
      <c r="O27" s="25"/>
      <c r="P27" s="66">
        <f t="shared" si="22"/>
        <v>0</v>
      </c>
      <c r="Q27" s="28"/>
      <c r="R27" s="28"/>
      <c r="S27" s="28"/>
      <c r="T27" s="35">
        <f t="shared" si="23"/>
        <v>0</v>
      </c>
      <c r="U27" s="144">
        <f t="shared" si="11"/>
        <v>0</v>
      </c>
    </row>
    <row r="28" spans="1:21" s="13" customFormat="1">
      <c r="A28" s="143"/>
      <c r="B28" s="15" t="s">
        <v>53</v>
      </c>
      <c r="C28" s="27"/>
      <c r="D28" s="25"/>
      <c r="E28" s="25"/>
      <c r="F28" s="25"/>
      <c r="G28" s="20">
        <f t="shared" si="13"/>
        <v>0</v>
      </c>
      <c r="H28" s="27"/>
      <c r="I28" s="28"/>
      <c r="J28" s="25"/>
      <c r="K28" s="29">
        <v>2057.1999999999998</v>
      </c>
      <c r="L28" s="62">
        <f t="shared" si="21"/>
        <v>2057.1999999999998</v>
      </c>
      <c r="M28" s="28"/>
      <c r="N28" s="25"/>
      <c r="O28" s="29"/>
      <c r="P28" s="66">
        <f t="shared" si="22"/>
        <v>0</v>
      </c>
      <c r="Q28" s="28"/>
      <c r="R28" s="28"/>
      <c r="S28" s="28"/>
      <c r="T28" s="35">
        <f t="shared" si="23"/>
        <v>0</v>
      </c>
      <c r="U28" s="144">
        <f t="shared" si="11"/>
        <v>2057.1999999999998</v>
      </c>
    </row>
    <row r="29" spans="1:21" s="13" customFormat="1">
      <c r="A29" s="143"/>
      <c r="B29" s="15" t="s">
        <v>83</v>
      </c>
      <c r="C29" s="27"/>
      <c r="D29" s="25"/>
      <c r="E29" s="25"/>
      <c r="F29" s="25"/>
      <c r="G29" s="20">
        <f t="shared" si="13"/>
        <v>0</v>
      </c>
      <c r="H29" s="27"/>
      <c r="I29" s="28"/>
      <c r="J29" s="25"/>
      <c r="K29" s="25"/>
      <c r="L29" s="62">
        <f t="shared" si="21"/>
        <v>0</v>
      </c>
      <c r="M29" s="28"/>
      <c r="N29" s="25"/>
      <c r="O29" s="25"/>
      <c r="P29" s="66">
        <f t="shared" si="22"/>
        <v>0</v>
      </c>
      <c r="Q29" s="28"/>
      <c r="R29" s="30"/>
      <c r="S29" s="28"/>
      <c r="T29" s="35">
        <f t="shared" si="23"/>
        <v>0</v>
      </c>
      <c r="U29" s="144">
        <f t="shared" si="11"/>
        <v>0</v>
      </c>
    </row>
    <row r="30" spans="1:21" s="13" customFormat="1" hidden="1">
      <c r="A30" s="143"/>
      <c r="B30" s="15"/>
      <c r="C30" s="27"/>
      <c r="D30" s="25"/>
      <c r="E30" s="25"/>
      <c r="F30" s="25"/>
      <c r="G30" s="20">
        <f t="shared" si="13"/>
        <v>0</v>
      </c>
      <c r="H30" s="27"/>
      <c r="I30" s="28"/>
      <c r="J30" s="25"/>
      <c r="K30" s="25"/>
      <c r="L30" s="62">
        <f t="shared" si="21"/>
        <v>0</v>
      </c>
      <c r="M30" s="28"/>
      <c r="N30" s="25"/>
      <c r="O30" s="25"/>
      <c r="P30" s="66">
        <f t="shared" si="22"/>
        <v>0</v>
      </c>
      <c r="Q30" s="28"/>
      <c r="R30" s="28"/>
      <c r="S30" s="28"/>
      <c r="T30" s="35">
        <f t="shared" si="23"/>
        <v>0</v>
      </c>
      <c r="U30" s="144">
        <f t="shared" si="11"/>
        <v>0</v>
      </c>
    </row>
    <row r="31" spans="1:21" s="13" customFormat="1" hidden="1">
      <c r="A31" s="143"/>
      <c r="B31" s="15"/>
      <c r="C31" s="27"/>
      <c r="D31" s="25"/>
      <c r="E31" s="25"/>
      <c r="F31" s="25"/>
      <c r="G31" s="20">
        <f t="shared" si="13"/>
        <v>0</v>
      </c>
      <c r="H31" s="27"/>
      <c r="I31" s="28"/>
      <c r="J31" s="25"/>
      <c r="K31" s="25"/>
      <c r="L31" s="62">
        <f t="shared" si="21"/>
        <v>0</v>
      </c>
      <c r="M31" s="28"/>
      <c r="N31" s="25"/>
      <c r="O31" s="25"/>
      <c r="P31" s="66">
        <f t="shared" si="22"/>
        <v>0</v>
      </c>
      <c r="Q31" s="28"/>
      <c r="R31" s="28"/>
      <c r="S31" s="28"/>
      <c r="T31" s="35">
        <f t="shared" si="23"/>
        <v>0</v>
      </c>
      <c r="U31" s="144">
        <f t="shared" si="11"/>
        <v>0</v>
      </c>
    </row>
    <row r="32" spans="1:21" s="13" customFormat="1" hidden="1">
      <c r="A32" s="143"/>
      <c r="B32" s="15"/>
      <c r="C32" s="27"/>
      <c r="D32" s="25"/>
      <c r="E32" s="25"/>
      <c r="F32" s="25"/>
      <c r="G32" s="20">
        <f t="shared" si="13"/>
        <v>0</v>
      </c>
      <c r="H32" s="27"/>
      <c r="I32" s="28"/>
      <c r="J32" s="25"/>
      <c r="K32" s="25"/>
      <c r="L32" s="62">
        <f t="shared" si="21"/>
        <v>0</v>
      </c>
      <c r="M32" s="28"/>
      <c r="N32" s="25"/>
      <c r="O32" s="25"/>
      <c r="P32" s="66">
        <f t="shared" si="22"/>
        <v>0</v>
      </c>
      <c r="Q32" s="28"/>
      <c r="R32" s="28"/>
      <c r="S32" s="28"/>
      <c r="T32" s="35">
        <f t="shared" si="23"/>
        <v>0</v>
      </c>
      <c r="U32" s="144">
        <f t="shared" si="11"/>
        <v>0</v>
      </c>
    </row>
    <row r="33" spans="1:22" s="13" customFormat="1" hidden="1">
      <c r="A33" s="146"/>
      <c r="B33" s="33"/>
      <c r="C33" s="27"/>
      <c r="D33" s="25"/>
      <c r="E33" s="25"/>
      <c r="F33" s="25"/>
      <c r="G33" s="20"/>
      <c r="H33" s="27"/>
      <c r="I33" s="28"/>
      <c r="J33" s="25"/>
      <c r="K33" s="25"/>
      <c r="L33" s="62">
        <f t="shared" si="21"/>
        <v>0</v>
      </c>
      <c r="M33" s="28"/>
      <c r="N33" s="25"/>
      <c r="O33" s="25"/>
      <c r="P33" s="66">
        <f t="shared" si="22"/>
        <v>0</v>
      </c>
      <c r="Q33" s="28"/>
      <c r="R33" s="28"/>
      <c r="S33" s="28"/>
      <c r="T33" s="35">
        <f t="shared" si="23"/>
        <v>0</v>
      </c>
      <c r="U33" s="144">
        <f t="shared" si="11"/>
        <v>0</v>
      </c>
    </row>
    <row r="34" spans="1:22" s="13" customFormat="1" ht="15.75" thickBot="1">
      <c r="A34" s="150"/>
      <c r="B34" s="195" t="s">
        <v>43</v>
      </c>
      <c r="C34" s="161"/>
      <c r="D34" s="153"/>
      <c r="E34" s="154"/>
      <c r="F34" s="154"/>
      <c r="G34" s="155">
        <f>G11-G14</f>
        <v>32143.033999999985</v>
      </c>
      <c r="H34" s="161"/>
      <c r="I34" s="156"/>
      <c r="J34" s="154"/>
      <c r="K34" s="154"/>
      <c r="L34" s="196">
        <f>L11-L14</f>
        <v>24085.433999999979</v>
      </c>
      <c r="M34" s="157"/>
      <c r="N34" s="157"/>
      <c r="O34" s="154"/>
      <c r="P34" s="155">
        <f>P11-P14</f>
        <v>19410.113999999972</v>
      </c>
      <c r="Q34" s="156"/>
      <c r="R34" s="156"/>
      <c r="S34" s="156"/>
      <c r="T34" s="157">
        <f>T11-T14</f>
        <v>-29468.406000000075</v>
      </c>
      <c r="U34" s="158">
        <f t="shared" si="11"/>
        <v>46170.175999999861</v>
      </c>
      <c r="V34" s="126"/>
    </row>
    <row r="35" spans="1:22" s="13" customFormat="1">
      <c r="A35" s="51"/>
      <c r="B35" s="51"/>
      <c r="C35" s="51"/>
      <c r="D35" s="102"/>
      <c r="E35" s="102"/>
      <c r="F35" s="103"/>
      <c r="G35" s="104"/>
      <c r="H35" s="104"/>
      <c r="I35" s="103"/>
      <c r="J35" s="103"/>
      <c r="K35" s="103"/>
      <c r="L35" s="104"/>
      <c r="M35" s="104"/>
      <c r="N35" s="104"/>
      <c r="O35" s="103"/>
      <c r="P35" s="104"/>
      <c r="Q35" s="103"/>
      <c r="R35" s="103"/>
      <c r="S35" s="103"/>
      <c r="T35" s="104"/>
      <c r="U35" s="103"/>
      <c r="V35" s="50"/>
    </row>
    <row r="36" spans="1:22" s="13" customFormat="1" ht="18.75">
      <c r="A36" s="105"/>
      <c r="B36" s="105"/>
      <c r="C36" s="105"/>
      <c r="D36" s="106"/>
      <c r="E36" s="106"/>
      <c r="F36" s="107"/>
      <c r="G36" s="108"/>
      <c r="H36" s="108"/>
      <c r="I36" s="107"/>
      <c r="J36" s="107"/>
      <c r="K36" s="107"/>
      <c r="L36" s="108"/>
      <c r="M36" s="104"/>
      <c r="N36" s="104"/>
      <c r="O36" s="103"/>
      <c r="P36" s="104"/>
      <c r="Q36" s="103"/>
      <c r="R36" s="103"/>
      <c r="S36" s="103"/>
      <c r="T36" s="104"/>
      <c r="U36" s="103"/>
      <c r="V36" s="50"/>
    </row>
    <row r="37" spans="1:22" ht="18.75">
      <c r="A37" s="4"/>
      <c r="B37" s="12"/>
      <c r="C37" s="2"/>
      <c r="D37" s="3"/>
      <c r="E37" s="2"/>
      <c r="F37" s="10"/>
      <c r="G37" s="10"/>
      <c r="H37" s="10"/>
      <c r="I37" s="10"/>
      <c r="J37" s="10"/>
      <c r="K37" s="10"/>
      <c r="L37" s="10"/>
      <c r="M37" s="11"/>
      <c r="N37" s="11"/>
      <c r="O37" s="11"/>
      <c r="P37" s="11"/>
      <c r="Q37" s="11"/>
      <c r="R37" s="11"/>
      <c r="S37" s="11"/>
      <c r="T37" s="11"/>
    </row>
    <row r="38" spans="1:22" ht="18.75">
      <c r="A38" s="4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22" ht="18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mergeCells count="4">
    <mergeCell ref="A1:L1"/>
    <mergeCell ref="A2:L2"/>
    <mergeCell ref="A3:L3"/>
    <mergeCell ref="R3:V3"/>
  </mergeCells>
  <pageMargins left="0.23622047244094491" right="0.23622047244094491" top="0.74803149606299213" bottom="0.74803149606299213" header="0.31496062992125984" footer="0.31496062992125984"/>
  <pageSetup paperSize="9" scale="59" orientation="landscape" horizontalDpi="180" verticalDpi="18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zoomScaleNormal="100" workbookViewId="0">
      <selection activeCell="C36" sqref="C36:D36"/>
    </sheetView>
  </sheetViews>
  <sheetFormatPr defaultRowHeight="15"/>
  <cols>
    <col min="1" max="1" width="3.7109375" customWidth="1"/>
    <col min="2" max="2" width="41.140625" customWidth="1"/>
    <col min="3" max="3" width="7.7109375" customWidth="1"/>
    <col min="4" max="5" width="9.7109375" customWidth="1"/>
    <col min="6" max="6" width="11" customWidth="1"/>
    <col min="7" max="7" width="11.85546875" customWidth="1"/>
    <col min="8" max="8" width="11" customWidth="1"/>
    <col min="9" max="9" width="9.28515625" customWidth="1"/>
    <col min="10" max="10" width="11.28515625" customWidth="1"/>
    <col min="11" max="11" width="9.5703125" customWidth="1"/>
    <col min="12" max="12" width="12.140625" customWidth="1"/>
    <col min="13" max="13" width="10.85546875" customWidth="1"/>
    <col min="14" max="14" width="8.28515625" customWidth="1"/>
    <col min="15" max="15" width="8.85546875" customWidth="1"/>
    <col min="16" max="16" width="9.42578125" customWidth="1"/>
    <col min="17" max="19" width="9.28515625" customWidth="1"/>
    <col min="20" max="20" width="9.42578125" customWidth="1"/>
    <col min="21" max="25" width="9.140625" customWidth="1"/>
  </cols>
  <sheetData>
    <row r="1" spans="1:21" s="13" customForma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Q1" s="13" t="s">
        <v>94</v>
      </c>
    </row>
    <row r="2" spans="1:21" s="13" customFormat="1">
      <c r="A2" s="368" t="s">
        <v>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Q2" s="13" t="s">
        <v>95</v>
      </c>
    </row>
    <row r="3" spans="1:21" s="13" customFormat="1">
      <c r="A3" s="374" t="s">
        <v>112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Q3" s="367" t="s">
        <v>138</v>
      </c>
      <c r="R3" s="367"/>
      <c r="S3" s="367"/>
      <c r="T3" s="367"/>
      <c r="U3" s="367"/>
    </row>
    <row r="4" spans="1:21" s="13" customFormat="1" ht="15.75" thickBot="1">
      <c r="B4" s="13" t="s">
        <v>74</v>
      </c>
      <c r="K4" s="13">
        <f>4337.3+60.9</f>
        <v>4398.2</v>
      </c>
    </row>
    <row r="5" spans="1:21" s="13" customFormat="1">
      <c r="A5" s="134"/>
      <c r="B5" s="135" t="s">
        <v>2</v>
      </c>
      <c r="C5" s="197" t="s">
        <v>3</v>
      </c>
      <c r="D5" s="135" t="s">
        <v>4</v>
      </c>
      <c r="E5" s="308" t="s">
        <v>3</v>
      </c>
      <c r="F5" s="135" t="s">
        <v>5</v>
      </c>
      <c r="G5" s="135" t="s">
        <v>6</v>
      </c>
      <c r="H5" s="137" t="s">
        <v>7</v>
      </c>
      <c r="I5" s="138" t="s">
        <v>8</v>
      </c>
      <c r="J5" s="135" t="s">
        <v>9</v>
      </c>
      <c r="K5" s="135" t="s">
        <v>10</v>
      </c>
      <c r="L5" s="139" t="s">
        <v>11</v>
      </c>
      <c r="M5" s="138" t="s">
        <v>54</v>
      </c>
      <c r="N5" s="135" t="s">
        <v>55</v>
      </c>
      <c r="O5" s="135" t="s">
        <v>56</v>
      </c>
      <c r="P5" s="139" t="s">
        <v>57</v>
      </c>
      <c r="Q5" s="138" t="s">
        <v>63</v>
      </c>
      <c r="R5" s="135" t="s">
        <v>64</v>
      </c>
      <c r="S5" s="135" t="s">
        <v>65</v>
      </c>
      <c r="T5" s="139" t="s">
        <v>66</v>
      </c>
      <c r="U5" s="164" t="s">
        <v>71</v>
      </c>
    </row>
    <row r="6" spans="1:21" s="13" customFormat="1" ht="26.25" customHeight="1">
      <c r="A6" s="198" t="s">
        <v>12</v>
      </c>
      <c r="B6" s="19" t="s">
        <v>13</v>
      </c>
      <c r="C6" s="55"/>
      <c r="D6" s="20">
        <f>SUM(D7:D10)</f>
        <v>74769.747999999992</v>
      </c>
      <c r="E6" s="309"/>
      <c r="F6" s="20">
        <f t="shared" ref="F6:T6" si="0">SUM(F7:F10)</f>
        <v>74769.400000000009</v>
      </c>
      <c r="G6" s="20">
        <f t="shared" si="0"/>
        <v>74769.400000000009</v>
      </c>
      <c r="H6" s="20">
        <f t="shared" si="0"/>
        <v>224322.74799999999</v>
      </c>
      <c r="I6" s="20">
        <f t="shared" si="0"/>
        <v>74769.400000000009</v>
      </c>
      <c r="J6" s="20">
        <f t="shared" si="0"/>
        <v>74769.400000000009</v>
      </c>
      <c r="K6" s="20">
        <f t="shared" si="0"/>
        <v>74769.400000000009</v>
      </c>
      <c r="L6" s="20">
        <f t="shared" si="0"/>
        <v>224308.2</v>
      </c>
      <c r="M6" s="20">
        <f t="shared" si="0"/>
        <v>74769.400000000009</v>
      </c>
      <c r="N6" s="20">
        <f t="shared" si="0"/>
        <v>74769.400000000009</v>
      </c>
      <c r="O6" s="20">
        <f t="shared" si="0"/>
        <v>74769.400000000009</v>
      </c>
      <c r="P6" s="20">
        <f t="shared" si="0"/>
        <v>224308.2</v>
      </c>
      <c r="Q6" s="20">
        <f t="shared" si="0"/>
        <v>74769.400000000009</v>
      </c>
      <c r="R6" s="20">
        <f t="shared" si="0"/>
        <v>74769.400000000009</v>
      </c>
      <c r="S6" s="20">
        <f t="shared" si="0"/>
        <v>74769.400000000009</v>
      </c>
      <c r="T6" s="20">
        <f t="shared" si="0"/>
        <v>224308.2</v>
      </c>
      <c r="U6" s="142">
        <f t="shared" ref="U6:U12" si="1">H6+L6+P6+T6</f>
        <v>897247.348</v>
      </c>
    </row>
    <row r="7" spans="1:21" s="13" customFormat="1">
      <c r="A7" s="199" t="s">
        <v>14</v>
      </c>
      <c r="B7" s="15" t="s">
        <v>15</v>
      </c>
      <c r="C7" s="70">
        <v>12</v>
      </c>
      <c r="D7" s="25">
        <f>C7*$K$4</f>
        <v>52778.399999999994</v>
      </c>
      <c r="E7" s="281">
        <v>11.46</v>
      </c>
      <c r="F7" s="25">
        <f>E7*K4</f>
        <v>50403.372000000003</v>
      </c>
      <c r="G7" s="25">
        <f>F7</f>
        <v>50403.372000000003</v>
      </c>
      <c r="H7" s="20">
        <f>SUM(D7:G7)</f>
        <v>153596.60399999999</v>
      </c>
      <c r="I7" s="25">
        <f>G7</f>
        <v>50403.372000000003</v>
      </c>
      <c r="J7" s="25">
        <f>I7</f>
        <v>50403.372000000003</v>
      </c>
      <c r="K7" s="25">
        <f>J7</f>
        <v>50403.372000000003</v>
      </c>
      <c r="L7" s="22">
        <f>I7+J7+K7</f>
        <v>151210.11600000001</v>
      </c>
      <c r="M7" s="25">
        <f>K7</f>
        <v>50403.372000000003</v>
      </c>
      <c r="N7" s="25">
        <f>M7</f>
        <v>50403.372000000003</v>
      </c>
      <c r="O7" s="25">
        <f>N7</f>
        <v>50403.372000000003</v>
      </c>
      <c r="P7" s="22">
        <f>SUM(M7:O7)</f>
        <v>151210.11600000001</v>
      </c>
      <c r="Q7" s="25">
        <f>O7</f>
        <v>50403.372000000003</v>
      </c>
      <c r="R7" s="25">
        <f>Q7</f>
        <v>50403.372000000003</v>
      </c>
      <c r="S7" s="25">
        <f>R7</f>
        <v>50403.372000000003</v>
      </c>
      <c r="T7" s="22">
        <f>SUM(Q7:S7)</f>
        <v>151210.11600000001</v>
      </c>
      <c r="U7" s="165">
        <f t="shared" si="1"/>
        <v>607226.95200000005</v>
      </c>
    </row>
    <row r="8" spans="1:21" s="13" customFormat="1">
      <c r="A8" s="199" t="s">
        <v>16</v>
      </c>
      <c r="B8" s="15" t="s">
        <v>17</v>
      </c>
      <c r="C8" s="70">
        <v>2.57</v>
      </c>
      <c r="D8" s="25">
        <f t="shared" ref="D8:D10" si="2">C8*$K$4</f>
        <v>11303.373999999998</v>
      </c>
      <c r="E8" s="281">
        <v>2.8</v>
      </c>
      <c r="F8" s="25">
        <f>E8*K4</f>
        <v>12314.96</v>
      </c>
      <c r="G8" s="25">
        <f>E8*K4</f>
        <v>12314.96</v>
      </c>
      <c r="H8" s="20">
        <f>D8+F8+G8</f>
        <v>35933.293999999994</v>
      </c>
      <c r="I8" s="25">
        <f>E8*K4</f>
        <v>12314.96</v>
      </c>
      <c r="J8" s="25">
        <f>E8*K4</f>
        <v>12314.96</v>
      </c>
      <c r="K8" s="25">
        <f>E8*K4</f>
        <v>12314.96</v>
      </c>
      <c r="L8" s="22">
        <f>I8+J8+K8</f>
        <v>36944.879999999997</v>
      </c>
      <c r="M8" s="25">
        <f>E8*K4</f>
        <v>12314.96</v>
      </c>
      <c r="N8" s="25">
        <f>E8*K4</f>
        <v>12314.96</v>
      </c>
      <c r="O8" s="25">
        <f>E8*K4</f>
        <v>12314.96</v>
      </c>
      <c r="P8" s="22">
        <f t="shared" ref="P8:P10" si="3">SUM(M8:O8)</f>
        <v>36944.879999999997</v>
      </c>
      <c r="Q8" s="25">
        <f>E8*K4</f>
        <v>12314.96</v>
      </c>
      <c r="R8" s="25">
        <f>E8*K4</f>
        <v>12314.96</v>
      </c>
      <c r="S8" s="25">
        <f>E8*K4</f>
        <v>12314.96</v>
      </c>
      <c r="T8" s="22">
        <f t="shared" ref="T8:T10" si="4">SUM(Q8:S8)</f>
        <v>36944.879999999997</v>
      </c>
      <c r="U8" s="165">
        <f t="shared" si="1"/>
        <v>146767.93400000001</v>
      </c>
    </row>
    <row r="9" spans="1:21" s="13" customFormat="1">
      <c r="A9" s="199" t="s">
        <v>18</v>
      </c>
      <c r="B9" s="15" t="s">
        <v>30</v>
      </c>
      <c r="C9" s="70">
        <v>1.86</v>
      </c>
      <c r="D9" s="25">
        <v>8181</v>
      </c>
      <c r="E9" s="281">
        <v>2.2000000000000002</v>
      </c>
      <c r="F9" s="25">
        <f>E9*K4</f>
        <v>9676.0400000000009</v>
      </c>
      <c r="G9" s="25">
        <f>E9*K4</f>
        <v>9676.0400000000009</v>
      </c>
      <c r="H9" s="20">
        <f t="shared" ref="H9:H10" si="5">SUM(D9:G9)</f>
        <v>27535.280000000002</v>
      </c>
      <c r="I9" s="25">
        <f>E9*K4</f>
        <v>9676.0400000000009</v>
      </c>
      <c r="J9" s="25">
        <f>E9*K4</f>
        <v>9676.0400000000009</v>
      </c>
      <c r="K9" s="25">
        <f>E9*K4</f>
        <v>9676.0400000000009</v>
      </c>
      <c r="L9" s="22">
        <f>I9+J9+K9</f>
        <v>29028.120000000003</v>
      </c>
      <c r="M9" s="25">
        <f>E9*K4</f>
        <v>9676.0400000000009</v>
      </c>
      <c r="N9" s="25">
        <f>E9*K4</f>
        <v>9676.0400000000009</v>
      </c>
      <c r="O9" s="25">
        <f>E9*K4</f>
        <v>9676.0400000000009</v>
      </c>
      <c r="P9" s="22">
        <f t="shared" si="3"/>
        <v>29028.120000000003</v>
      </c>
      <c r="Q9" s="25">
        <f>E9*K4</f>
        <v>9676.0400000000009</v>
      </c>
      <c r="R9" s="25">
        <f>E9*K4</f>
        <v>9676.0400000000009</v>
      </c>
      <c r="S9" s="25">
        <f>E9*K4</f>
        <v>9676.0400000000009</v>
      </c>
      <c r="T9" s="22">
        <f t="shared" si="4"/>
        <v>29028.120000000003</v>
      </c>
      <c r="U9" s="165">
        <f>T9+P9+L9+H9</f>
        <v>114619.64000000001</v>
      </c>
    </row>
    <row r="10" spans="1:21" s="13" customFormat="1" ht="15.75" thickBot="1">
      <c r="A10" s="146" t="s">
        <v>31</v>
      </c>
      <c r="B10" s="33" t="s">
        <v>19</v>
      </c>
      <c r="C10" s="71">
        <v>0.56999999999999995</v>
      </c>
      <c r="D10" s="34">
        <f t="shared" si="2"/>
        <v>2506.9739999999997</v>
      </c>
      <c r="E10" s="282">
        <v>0.54</v>
      </c>
      <c r="F10" s="34">
        <f>E10*K4</f>
        <v>2375.0280000000002</v>
      </c>
      <c r="G10" s="34">
        <f>F10</f>
        <v>2375.0280000000002</v>
      </c>
      <c r="H10" s="66">
        <f t="shared" si="5"/>
        <v>7257.57</v>
      </c>
      <c r="I10" s="34">
        <f>G10</f>
        <v>2375.0280000000002</v>
      </c>
      <c r="J10" s="34">
        <f>I10</f>
        <v>2375.0280000000002</v>
      </c>
      <c r="K10" s="34">
        <f>J10</f>
        <v>2375.0280000000002</v>
      </c>
      <c r="L10" s="84">
        <f>I10+J10+K10</f>
        <v>7125.0840000000007</v>
      </c>
      <c r="M10" s="34">
        <f>K10</f>
        <v>2375.0280000000002</v>
      </c>
      <c r="N10" s="34">
        <f>M10</f>
        <v>2375.0280000000002</v>
      </c>
      <c r="O10" s="34">
        <f>N10</f>
        <v>2375.0280000000002</v>
      </c>
      <c r="P10" s="84">
        <f t="shared" si="3"/>
        <v>7125.0840000000007</v>
      </c>
      <c r="Q10" s="34">
        <f>O10</f>
        <v>2375.0280000000002</v>
      </c>
      <c r="R10" s="34">
        <f>Q10</f>
        <v>2375.0280000000002</v>
      </c>
      <c r="S10" s="34">
        <f>R10</f>
        <v>2375.0280000000002</v>
      </c>
      <c r="T10" s="84">
        <f t="shared" si="4"/>
        <v>7125.0840000000007</v>
      </c>
      <c r="U10" s="167">
        <f t="shared" si="1"/>
        <v>28632.822</v>
      </c>
    </row>
    <row r="11" spans="1:21" s="13" customFormat="1" ht="15.75" thickBot="1">
      <c r="A11" s="36" t="s">
        <v>32</v>
      </c>
      <c r="B11" s="37" t="s">
        <v>20</v>
      </c>
      <c r="C11" s="72"/>
      <c r="D11" s="38">
        <v>64627.15</v>
      </c>
      <c r="E11" s="283"/>
      <c r="F11" s="38">
        <v>78308.08</v>
      </c>
      <c r="G11" s="38">
        <v>65988.649999999994</v>
      </c>
      <c r="H11" s="119">
        <f>D11+F11+G11+G12</f>
        <v>208923.88</v>
      </c>
      <c r="I11" s="40">
        <v>66666.42</v>
      </c>
      <c r="J11" s="38">
        <v>65661.31</v>
      </c>
      <c r="K11" s="38">
        <v>73727.710000000006</v>
      </c>
      <c r="L11" s="68">
        <f>I11+J11+K11+K12+K13</f>
        <v>210855.44</v>
      </c>
      <c r="M11" s="40">
        <v>72812.55</v>
      </c>
      <c r="N11" s="38">
        <v>86390.71</v>
      </c>
      <c r="O11" s="38">
        <v>67979.710000000006</v>
      </c>
      <c r="P11" s="68">
        <f>M11+N11+O11+O12</f>
        <v>232182.97000000003</v>
      </c>
      <c r="Q11" s="40">
        <v>74462.3</v>
      </c>
      <c r="R11" s="38">
        <v>62137.63</v>
      </c>
      <c r="S11" s="38">
        <v>68114.61</v>
      </c>
      <c r="T11" s="68">
        <f>SUM(Q11:S11)+S12+S13</f>
        <v>222931.8</v>
      </c>
      <c r="U11" s="171">
        <f t="shared" si="1"/>
        <v>874894.09000000008</v>
      </c>
    </row>
    <row r="12" spans="1:21" s="13" customFormat="1">
      <c r="A12" s="202"/>
      <c r="B12" s="45" t="s">
        <v>37</v>
      </c>
      <c r="C12" s="80"/>
      <c r="D12" s="46"/>
      <c r="E12" s="284"/>
      <c r="F12" s="46"/>
      <c r="G12" s="239">
        <v>0</v>
      </c>
      <c r="H12" s="98"/>
      <c r="I12" s="76"/>
      <c r="J12" s="46"/>
      <c r="K12" s="239">
        <v>0</v>
      </c>
      <c r="L12" s="85"/>
      <c r="M12" s="76"/>
      <c r="N12" s="46"/>
      <c r="O12" s="232">
        <f>5000</f>
        <v>5000</v>
      </c>
      <c r="P12" s="85"/>
      <c r="Q12" s="76"/>
      <c r="R12" s="46"/>
      <c r="S12" s="232">
        <f>11617.26</f>
        <v>11617.26</v>
      </c>
      <c r="T12" s="85"/>
      <c r="U12" s="168">
        <f t="shared" si="1"/>
        <v>0</v>
      </c>
    </row>
    <row r="13" spans="1:21" s="13" customFormat="1">
      <c r="A13" s="200"/>
      <c r="B13" s="15" t="s">
        <v>72</v>
      </c>
      <c r="C13" s="70"/>
      <c r="D13" s="25"/>
      <c r="E13" s="281"/>
      <c r="F13" s="25"/>
      <c r="G13" s="25"/>
      <c r="H13" s="20"/>
      <c r="I13" s="28"/>
      <c r="J13" s="25"/>
      <c r="K13" s="29">
        <v>4800</v>
      </c>
      <c r="L13" s="22"/>
      <c r="M13" s="28"/>
      <c r="N13" s="25"/>
      <c r="O13" s="25"/>
      <c r="P13" s="22"/>
      <c r="Q13" s="28"/>
      <c r="R13" s="25"/>
      <c r="S13" s="29">
        <f>4800+1800</f>
        <v>6600</v>
      </c>
      <c r="T13" s="22"/>
      <c r="U13" s="165"/>
    </row>
    <row r="14" spans="1:21" s="13" customFormat="1">
      <c r="A14" s="199"/>
      <c r="B14" s="15" t="s">
        <v>21</v>
      </c>
      <c r="C14" s="70"/>
      <c r="D14" s="25">
        <f>D11-D6</f>
        <v>-10142.597999999991</v>
      </c>
      <c r="E14" s="281"/>
      <c r="F14" s="25">
        <f t="shared" ref="F14:T14" si="6">F11-F6</f>
        <v>3538.679999999993</v>
      </c>
      <c r="G14" s="25">
        <f t="shared" si="6"/>
        <v>-8780.7500000000146</v>
      </c>
      <c r="H14" s="22">
        <f t="shared" si="6"/>
        <v>-15398.867999999988</v>
      </c>
      <c r="I14" s="28">
        <f t="shared" si="6"/>
        <v>-8102.9800000000105</v>
      </c>
      <c r="J14" s="25">
        <f t="shared" si="6"/>
        <v>-9108.0900000000111</v>
      </c>
      <c r="K14" s="25">
        <f t="shared" si="6"/>
        <v>-1041.6900000000023</v>
      </c>
      <c r="L14" s="22">
        <f t="shared" si="6"/>
        <v>-13452.760000000009</v>
      </c>
      <c r="M14" s="28">
        <f t="shared" si="6"/>
        <v>-1956.8500000000058</v>
      </c>
      <c r="N14" s="25">
        <f t="shared" si="6"/>
        <v>11621.309999999998</v>
      </c>
      <c r="O14" s="25">
        <f t="shared" si="6"/>
        <v>-6789.6900000000023</v>
      </c>
      <c r="P14" s="22">
        <f t="shared" si="6"/>
        <v>7874.7700000000186</v>
      </c>
      <c r="Q14" s="28">
        <f t="shared" si="6"/>
        <v>-307.10000000000582</v>
      </c>
      <c r="R14" s="25">
        <f t="shared" si="6"/>
        <v>-12631.770000000011</v>
      </c>
      <c r="S14" s="25">
        <f t="shared" si="6"/>
        <v>-6654.7900000000081</v>
      </c>
      <c r="T14" s="22">
        <f t="shared" si="6"/>
        <v>-1376.4000000000233</v>
      </c>
      <c r="U14" s="165">
        <f t="shared" ref="U14:U31" si="7">H14+L14+P14+T14</f>
        <v>-22353.258000000002</v>
      </c>
    </row>
    <row r="15" spans="1:21" s="13" customFormat="1" ht="23.25" customHeight="1">
      <c r="A15" s="198" t="s">
        <v>22</v>
      </c>
      <c r="B15" s="19" t="s">
        <v>23</v>
      </c>
      <c r="C15" s="27"/>
      <c r="D15" s="22">
        <f>SUM(D16:D24)</f>
        <v>57328.925999999999</v>
      </c>
      <c r="E15" s="281"/>
      <c r="F15" s="22">
        <f>SUM(F16:F24)</f>
        <v>59934.98599999999</v>
      </c>
      <c r="G15" s="22">
        <f>SUM(G16:G24)</f>
        <v>55466.98599999999</v>
      </c>
      <c r="H15" s="20">
        <f>SUM(D15:G15)</f>
        <v>172730.89799999999</v>
      </c>
      <c r="I15" s="22">
        <f>SUM(I16:I24)</f>
        <v>53860.98599999999</v>
      </c>
      <c r="J15" s="22">
        <f>SUM(J16:J24)</f>
        <v>65100.98599999999</v>
      </c>
      <c r="K15" s="22">
        <f>SUM(K16:K24)</f>
        <v>57027.795999999988</v>
      </c>
      <c r="L15" s="22">
        <f t="shared" ref="L15:L30" si="8">I15+J15+K15</f>
        <v>175989.76799999998</v>
      </c>
      <c r="M15" s="22">
        <f>SUM(M16:M24)</f>
        <v>54406.98599999999</v>
      </c>
      <c r="N15" s="22">
        <f>SUM(N16:N24)</f>
        <v>57202.98599999999</v>
      </c>
      <c r="O15" s="22">
        <f>SUM(O16:O24)</f>
        <v>54906.98599999999</v>
      </c>
      <c r="P15" s="20">
        <f>SUM(M15:O15)</f>
        <v>166516.95799999998</v>
      </c>
      <c r="Q15" s="22">
        <f>SUM(Q16:Q24)</f>
        <v>74930.986000000004</v>
      </c>
      <c r="R15" s="22">
        <f>SUM(R16:R24)</f>
        <v>118021.986</v>
      </c>
      <c r="S15" s="22">
        <f>SUM(S16:S24)</f>
        <v>196132.986</v>
      </c>
      <c r="T15" s="20">
        <f>SUM(Q15:S15)</f>
        <v>389085.95799999998</v>
      </c>
      <c r="U15" s="142">
        <f t="shared" si="7"/>
        <v>904323.58199999994</v>
      </c>
    </row>
    <row r="16" spans="1:21" s="13" customFormat="1">
      <c r="A16" s="199" t="s">
        <v>24</v>
      </c>
      <c r="B16" s="15" t="s">
        <v>17</v>
      </c>
      <c r="C16" s="70">
        <v>2.57</v>
      </c>
      <c r="D16" s="25">
        <f t="shared" ref="D16:D22" si="9">C16*$K$4</f>
        <v>11303.373999999998</v>
      </c>
      <c r="E16" s="281">
        <v>2.8</v>
      </c>
      <c r="F16" s="25">
        <f>E16*K4</f>
        <v>12314.96</v>
      </c>
      <c r="G16" s="25">
        <f>E16*K4</f>
        <v>12314.96</v>
      </c>
      <c r="H16" s="20">
        <f>G16+F16+D16</f>
        <v>35933.293999999994</v>
      </c>
      <c r="I16" s="25">
        <f>E16*K4</f>
        <v>12314.96</v>
      </c>
      <c r="J16" s="25">
        <f>E16*K4</f>
        <v>12314.96</v>
      </c>
      <c r="K16" s="25">
        <f>E16*K4</f>
        <v>12314.96</v>
      </c>
      <c r="L16" s="22">
        <f t="shared" si="8"/>
        <v>36944.879999999997</v>
      </c>
      <c r="M16" s="25">
        <f>E16*K4</f>
        <v>12314.96</v>
      </c>
      <c r="N16" s="25">
        <f>E16*K4</f>
        <v>12314.96</v>
      </c>
      <c r="O16" s="25">
        <f>E16*K4</f>
        <v>12314.96</v>
      </c>
      <c r="P16" s="20">
        <f>SUM(M16:O16)</f>
        <v>36944.879999999997</v>
      </c>
      <c r="Q16" s="25">
        <f>E16*K4</f>
        <v>12314.96</v>
      </c>
      <c r="R16" s="25">
        <f>E16*K4</f>
        <v>12314.96</v>
      </c>
      <c r="S16" s="25">
        <f>E16*K4</f>
        <v>12314.96</v>
      </c>
      <c r="T16" s="20">
        <f>SUM(Q16:S16)</f>
        <v>36944.879999999997</v>
      </c>
      <c r="U16" s="165">
        <f t="shared" si="7"/>
        <v>146767.93400000001</v>
      </c>
    </row>
    <row r="17" spans="1:22" s="13" customFormat="1">
      <c r="A17" s="199" t="s">
        <v>25</v>
      </c>
      <c r="B17" s="15" t="s">
        <v>26</v>
      </c>
      <c r="C17" s="70">
        <v>2.99</v>
      </c>
      <c r="D17" s="25">
        <f t="shared" si="9"/>
        <v>13150.618</v>
      </c>
      <c r="E17" s="281">
        <v>3.99</v>
      </c>
      <c r="F17" s="25">
        <f>E17*K4</f>
        <v>17548.817999999999</v>
      </c>
      <c r="G17" s="25">
        <f>F17</f>
        <v>17548.817999999999</v>
      </c>
      <c r="H17" s="20">
        <f t="shared" ref="H17:H22" si="10">SUM(D17:G17)</f>
        <v>48252.243999999999</v>
      </c>
      <c r="I17" s="25">
        <f>G17</f>
        <v>17548.817999999999</v>
      </c>
      <c r="J17" s="25">
        <f>I17</f>
        <v>17548.817999999999</v>
      </c>
      <c r="K17" s="25">
        <f>J17</f>
        <v>17548.817999999999</v>
      </c>
      <c r="L17" s="22">
        <f t="shared" si="8"/>
        <v>52646.453999999998</v>
      </c>
      <c r="M17" s="25">
        <f>K17</f>
        <v>17548.817999999999</v>
      </c>
      <c r="N17" s="25">
        <f>M17</f>
        <v>17548.817999999999</v>
      </c>
      <c r="O17" s="25">
        <f>N17</f>
        <v>17548.817999999999</v>
      </c>
      <c r="P17" s="20">
        <f>SUM(M17:O17)</f>
        <v>52646.453999999998</v>
      </c>
      <c r="Q17" s="25">
        <f>O17</f>
        <v>17548.817999999999</v>
      </c>
      <c r="R17" s="25">
        <f>Q17</f>
        <v>17548.817999999999</v>
      </c>
      <c r="S17" s="25">
        <f>R17</f>
        <v>17548.817999999999</v>
      </c>
      <c r="T17" s="20">
        <f>SUM(Q17:S17)</f>
        <v>52646.453999999998</v>
      </c>
      <c r="U17" s="165">
        <f t="shared" si="7"/>
        <v>206191.606</v>
      </c>
    </row>
    <row r="18" spans="1:22" s="13" customFormat="1" ht="15.75" thickBot="1">
      <c r="A18" s="201" t="s">
        <v>27</v>
      </c>
      <c r="B18" s="33" t="s">
        <v>30</v>
      </c>
      <c r="C18" s="71">
        <v>1.86</v>
      </c>
      <c r="D18" s="34">
        <f t="shared" si="9"/>
        <v>8180.652</v>
      </c>
      <c r="E18" s="282">
        <v>2.2000000000000002</v>
      </c>
      <c r="F18" s="34">
        <f>E18*K4</f>
        <v>9676.0400000000009</v>
      </c>
      <c r="G18" s="34">
        <f>E18*K4</f>
        <v>9676.0400000000009</v>
      </c>
      <c r="H18" s="66">
        <f t="shared" si="10"/>
        <v>27534.932000000001</v>
      </c>
      <c r="I18" s="34">
        <f>E18*K4</f>
        <v>9676.0400000000009</v>
      </c>
      <c r="J18" s="34">
        <f>E18*K4</f>
        <v>9676.0400000000009</v>
      </c>
      <c r="K18" s="34">
        <f>E18*K4</f>
        <v>9676.0400000000009</v>
      </c>
      <c r="L18" s="84">
        <f t="shared" si="8"/>
        <v>29028.120000000003</v>
      </c>
      <c r="M18" s="34">
        <f>E18*K4</f>
        <v>9676.0400000000009</v>
      </c>
      <c r="N18" s="34">
        <f>E18*K4</f>
        <v>9676.0400000000009</v>
      </c>
      <c r="O18" s="34">
        <f>E18*K4</f>
        <v>9676.0400000000009</v>
      </c>
      <c r="P18" s="66">
        <f t="shared" ref="P18:P30" si="11">SUM(M18:O18)</f>
        <v>29028.120000000003</v>
      </c>
      <c r="Q18" s="34">
        <f>E18*K4</f>
        <v>9676.0400000000009</v>
      </c>
      <c r="R18" s="34">
        <f>E18*K4</f>
        <v>9676.0400000000009</v>
      </c>
      <c r="S18" s="34">
        <f>E18*K4</f>
        <v>9676.0400000000009</v>
      </c>
      <c r="T18" s="66">
        <f t="shared" ref="T18:T30" si="12">SUM(Q18:S18)</f>
        <v>29028.120000000003</v>
      </c>
      <c r="U18" s="167">
        <f>T18+P18+L18+H18</f>
        <v>114619.29200000002</v>
      </c>
    </row>
    <row r="19" spans="1:22" s="172" customFormat="1" thickBot="1">
      <c r="A19" s="183" t="s">
        <v>28</v>
      </c>
      <c r="B19" s="131" t="s">
        <v>40</v>
      </c>
      <c r="C19" s="72"/>
      <c r="D19" s="38">
        <v>18053</v>
      </c>
      <c r="E19" s="283"/>
      <c r="F19" s="38">
        <v>6145</v>
      </c>
      <c r="G19" s="38">
        <v>1677</v>
      </c>
      <c r="H19" s="119">
        <f t="shared" si="10"/>
        <v>25875</v>
      </c>
      <c r="I19" s="40">
        <v>71</v>
      </c>
      <c r="J19" s="38">
        <v>11311</v>
      </c>
      <c r="K19" s="38">
        <v>1596</v>
      </c>
      <c r="L19" s="68">
        <f t="shared" si="8"/>
        <v>12978</v>
      </c>
      <c r="M19" s="40">
        <v>617</v>
      </c>
      <c r="N19" s="38">
        <v>3413</v>
      </c>
      <c r="O19" s="38">
        <v>1117</v>
      </c>
      <c r="P19" s="119">
        <f t="shared" si="11"/>
        <v>5147</v>
      </c>
      <c r="Q19" s="40">
        <v>21141</v>
      </c>
      <c r="R19" s="38">
        <v>64232</v>
      </c>
      <c r="S19" s="38">
        <v>142143</v>
      </c>
      <c r="T19" s="119">
        <f t="shared" si="12"/>
        <v>227516</v>
      </c>
      <c r="U19" s="171">
        <f t="shared" si="7"/>
        <v>271516</v>
      </c>
    </row>
    <row r="20" spans="1:22" s="13" customFormat="1">
      <c r="A20" s="202" t="s">
        <v>33</v>
      </c>
      <c r="B20" s="45" t="s">
        <v>39</v>
      </c>
      <c r="C20" s="74">
        <v>0.82</v>
      </c>
      <c r="D20" s="46">
        <f t="shared" si="9"/>
        <v>3606.5239999999994</v>
      </c>
      <c r="E20" s="285">
        <v>1</v>
      </c>
      <c r="F20" s="46">
        <f>E20*K4</f>
        <v>4398.2</v>
      </c>
      <c r="G20" s="46">
        <f>F20</f>
        <v>4398.2</v>
      </c>
      <c r="H20" s="98">
        <f t="shared" si="10"/>
        <v>12403.923999999999</v>
      </c>
      <c r="I20" s="46">
        <f>G20</f>
        <v>4398.2</v>
      </c>
      <c r="J20" s="75">
        <f t="shared" ref="J20:K23" si="13">I20</f>
        <v>4398.2</v>
      </c>
      <c r="K20" s="46">
        <f t="shared" si="13"/>
        <v>4398.2</v>
      </c>
      <c r="L20" s="85">
        <f t="shared" si="8"/>
        <v>13194.599999999999</v>
      </c>
      <c r="M20" s="46">
        <f>K20</f>
        <v>4398.2</v>
      </c>
      <c r="N20" s="46">
        <f t="shared" ref="N20:O22" si="14">M20</f>
        <v>4398.2</v>
      </c>
      <c r="O20" s="46">
        <f t="shared" si="14"/>
        <v>4398.2</v>
      </c>
      <c r="P20" s="124">
        <f t="shared" si="11"/>
        <v>13194.599999999999</v>
      </c>
      <c r="Q20" s="46">
        <f>O20</f>
        <v>4398.2</v>
      </c>
      <c r="R20" s="46">
        <f t="shared" ref="R20:S22" si="15">Q20</f>
        <v>4398.2</v>
      </c>
      <c r="S20" s="46">
        <f t="shared" si="15"/>
        <v>4398.2</v>
      </c>
      <c r="T20" s="124">
        <f t="shared" si="12"/>
        <v>13194.599999999999</v>
      </c>
      <c r="U20" s="168">
        <f t="shared" si="7"/>
        <v>51987.723999999995</v>
      </c>
    </row>
    <row r="21" spans="1:22" s="13" customFormat="1">
      <c r="A21" s="199" t="s">
        <v>34</v>
      </c>
      <c r="B21" s="15" t="s">
        <v>41</v>
      </c>
      <c r="C21" s="71">
        <v>0.12</v>
      </c>
      <c r="D21" s="25">
        <f t="shared" si="9"/>
        <v>527.78399999999999</v>
      </c>
      <c r="E21" s="282">
        <v>0.2</v>
      </c>
      <c r="F21" s="25">
        <f>E21*K4</f>
        <v>879.64</v>
      </c>
      <c r="G21" s="25">
        <f>F21</f>
        <v>879.64</v>
      </c>
      <c r="H21" s="20">
        <f t="shared" si="10"/>
        <v>2287.2640000000001</v>
      </c>
      <c r="I21" s="25">
        <f>G21</f>
        <v>879.64</v>
      </c>
      <c r="J21" s="34">
        <f t="shared" si="13"/>
        <v>879.64</v>
      </c>
      <c r="K21" s="25">
        <f t="shared" si="13"/>
        <v>879.64</v>
      </c>
      <c r="L21" s="22">
        <f t="shared" si="8"/>
        <v>2638.92</v>
      </c>
      <c r="M21" s="25">
        <f>K21</f>
        <v>879.64</v>
      </c>
      <c r="N21" s="25">
        <f t="shared" si="14"/>
        <v>879.64</v>
      </c>
      <c r="O21" s="25">
        <f t="shared" si="14"/>
        <v>879.64</v>
      </c>
      <c r="P21" s="66">
        <f t="shared" si="11"/>
        <v>2638.92</v>
      </c>
      <c r="Q21" s="25">
        <f>O21</f>
        <v>879.64</v>
      </c>
      <c r="R21" s="25">
        <f t="shared" si="15"/>
        <v>879.64</v>
      </c>
      <c r="S21" s="25">
        <f t="shared" si="15"/>
        <v>879.64</v>
      </c>
      <c r="T21" s="66">
        <f t="shared" si="12"/>
        <v>2638.92</v>
      </c>
      <c r="U21" s="165">
        <f t="shared" si="7"/>
        <v>10204.024000000001</v>
      </c>
    </row>
    <row r="22" spans="1:22" s="13" customFormat="1">
      <c r="A22" s="199" t="s">
        <v>35</v>
      </c>
      <c r="B22" s="15" t="s">
        <v>29</v>
      </c>
      <c r="C22" s="70">
        <v>0.56999999999999995</v>
      </c>
      <c r="D22" s="25">
        <f t="shared" si="9"/>
        <v>2506.9739999999997</v>
      </c>
      <c r="E22" s="281">
        <v>0.54</v>
      </c>
      <c r="F22" s="25">
        <f>E22*K4</f>
        <v>2375.0280000000002</v>
      </c>
      <c r="G22" s="25">
        <f>F22</f>
        <v>2375.0280000000002</v>
      </c>
      <c r="H22" s="20">
        <f t="shared" si="10"/>
        <v>7257.57</v>
      </c>
      <c r="I22" s="25">
        <f>G22</f>
        <v>2375.0280000000002</v>
      </c>
      <c r="J22" s="25">
        <f t="shared" si="13"/>
        <v>2375.0280000000002</v>
      </c>
      <c r="K22" s="25">
        <f t="shared" si="13"/>
        <v>2375.0280000000002</v>
      </c>
      <c r="L22" s="22">
        <f t="shared" si="8"/>
        <v>7125.0840000000007</v>
      </c>
      <c r="M22" s="25">
        <f>K22</f>
        <v>2375.0280000000002</v>
      </c>
      <c r="N22" s="25">
        <f t="shared" si="14"/>
        <v>2375.0280000000002</v>
      </c>
      <c r="O22" s="25">
        <f t="shared" si="14"/>
        <v>2375.0280000000002</v>
      </c>
      <c r="P22" s="66">
        <f t="shared" si="11"/>
        <v>7125.0840000000007</v>
      </c>
      <c r="Q22" s="25">
        <f>O22</f>
        <v>2375.0280000000002</v>
      </c>
      <c r="R22" s="25">
        <f t="shared" si="15"/>
        <v>2375.0280000000002</v>
      </c>
      <c r="S22" s="25">
        <f t="shared" si="15"/>
        <v>2375.0280000000002</v>
      </c>
      <c r="T22" s="66">
        <f t="shared" si="12"/>
        <v>7125.0840000000007</v>
      </c>
      <c r="U22" s="165">
        <f t="shared" si="7"/>
        <v>28632.822</v>
      </c>
    </row>
    <row r="23" spans="1:22" s="13" customFormat="1">
      <c r="A23" s="199" t="s">
        <v>124</v>
      </c>
      <c r="B23" s="15" t="s">
        <v>123</v>
      </c>
      <c r="C23" s="70"/>
      <c r="D23" s="25"/>
      <c r="E23" s="281">
        <v>1.5</v>
      </c>
      <c r="F23" s="25">
        <f>E23*K4</f>
        <v>6597.2999999999993</v>
      </c>
      <c r="G23" s="25">
        <f>F23</f>
        <v>6597.2999999999993</v>
      </c>
      <c r="H23" s="20">
        <f>G23+F23+D23</f>
        <v>13194.599999999999</v>
      </c>
      <c r="I23" s="25">
        <f>G23</f>
        <v>6597.2999999999993</v>
      </c>
      <c r="J23" s="25">
        <f t="shared" si="13"/>
        <v>6597.2999999999993</v>
      </c>
      <c r="K23" s="25">
        <f t="shared" si="13"/>
        <v>6597.2999999999993</v>
      </c>
      <c r="L23" s="22">
        <f>K23+J23+I23</f>
        <v>19791.899999999998</v>
      </c>
      <c r="M23" s="25">
        <f>K23</f>
        <v>6597.2999999999993</v>
      </c>
      <c r="N23" s="25">
        <f>M23</f>
        <v>6597.2999999999993</v>
      </c>
      <c r="O23" s="25">
        <f>N23</f>
        <v>6597.2999999999993</v>
      </c>
      <c r="P23" s="66">
        <f>O23+N23+M23</f>
        <v>19791.899999999998</v>
      </c>
      <c r="Q23" s="25">
        <f>O23</f>
        <v>6597.2999999999993</v>
      </c>
      <c r="R23" s="25">
        <f>Q23</f>
        <v>6597.2999999999993</v>
      </c>
      <c r="S23" s="25">
        <f>R23</f>
        <v>6597.2999999999993</v>
      </c>
      <c r="T23" s="66">
        <f>S23+R23+Q23</f>
        <v>19791.899999999998</v>
      </c>
      <c r="U23" s="165">
        <f t="shared" si="7"/>
        <v>72570.299999999988</v>
      </c>
    </row>
    <row r="24" spans="1:22" s="13" customFormat="1">
      <c r="A24" s="143" t="s">
        <v>125</v>
      </c>
      <c r="B24" s="15" t="s">
        <v>84</v>
      </c>
      <c r="C24" s="70"/>
      <c r="D24" s="25">
        <f>SUM(D26:D30)</f>
        <v>0</v>
      </c>
      <c r="E24" s="281"/>
      <c r="F24" s="25">
        <f>SUM(F26:F30)</f>
        <v>0</v>
      </c>
      <c r="G24" s="25">
        <f>SUM(G26:G30)</f>
        <v>0</v>
      </c>
      <c r="H24" s="20">
        <f t="shared" ref="H24:H30" si="16">SUM(D24:G24)</f>
        <v>0</v>
      </c>
      <c r="I24" s="25">
        <f>SUM(I26:I30)</f>
        <v>0</v>
      </c>
      <c r="J24" s="25">
        <f>SUM(J26:J30)</f>
        <v>0</v>
      </c>
      <c r="K24" s="29">
        <f>SUM(K26:K30)</f>
        <v>1641.81</v>
      </c>
      <c r="L24" s="22">
        <f t="shared" si="8"/>
        <v>1641.81</v>
      </c>
      <c r="M24" s="25">
        <f>SUM(M26:M30)</f>
        <v>0</v>
      </c>
      <c r="N24" s="25">
        <f>SUM(N26:N30)</f>
        <v>0</v>
      </c>
      <c r="O24" s="25">
        <f>SUM(O26:O30)</f>
        <v>0</v>
      </c>
      <c r="P24" s="66">
        <f t="shared" si="11"/>
        <v>0</v>
      </c>
      <c r="Q24" s="25">
        <f>SUM(Q26:Q30)</f>
        <v>0</v>
      </c>
      <c r="R24" s="25">
        <f>SUM(R26:R30)</f>
        <v>0</v>
      </c>
      <c r="S24" s="29">
        <f>SUM(S26:S30)</f>
        <v>200</v>
      </c>
      <c r="T24" s="66">
        <f t="shared" si="12"/>
        <v>200</v>
      </c>
      <c r="U24" s="165">
        <f t="shared" si="7"/>
        <v>1841.81</v>
      </c>
    </row>
    <row r="25" spans="1:22" s="13" customFormat="1">
      <c r="A25" s="199"/>
      <c r="B25" s="15" t="s">
        <v>44</v>
      </c>
      <c r="C25" s="70"/>
      <c r="D25" s="25"/>
      <c r="E25" s="281"/>
      <c r="F25" s="25"/>
      <c r="G25" s="25"/>
      <c r="H25" s="20">
        <f t="shared" si="16"/>
        <v>0</v>
      </c>
      <c r="I25" s="28"/>
      <c r="J25" s="25"/>
      <c r="K25" s="25"/>
      <c r="L25" s="22">
        <f t="shared" si="8"/>
        <v>0</v>
      </c>
      <c r="M25" s="28"/>
      <c r="N25" s="25"/>
      <c r="O25" s="25"/>
      <c r="P25" s="66">
        <f t="shared" si="11"/>
        <v>0</v>
      </c>
      <c r="Q25" s="28"/>
      <c r="R25" s="25"/>
      <c r="S25" s="25"/>
      <c r="T25" s="66">
        <f t="shared" si="12"/>
        <v>0</v>
      </c>
      <c r="U25" s="165">
        <f t="shared" si="7"/>
        <v>0</v>
      </c>
    </row>
    <row r="26" spans="1:22" s="13" customFormat="1">
      <c r="A26" s="199"/>
      <c r="B26" s="15" t="s">
        <v>47</v>
      </c>
      <c r="C26" s="78"/>
      <c r="D26" s="25"/>
      <c r="E26" s="310"/>
      <c r="F26" s="25"/>
      <c r="G26" s="25"/>
      <c r="H26" s="20">
        <f t="shared" si="16"/>
        <v>0</v>
      </c>
      <c r="I26" s="28"/>
      <c r="J26" s="25"/>
      <c r="K26" s="25"/>
      <c r="L26" s="22">
        <f t="shared" si="8"/>
        <v>0</v>
      </c>
      <c r="M26" s="30"/>
      <c r="N26" s="25"/>
      <c r="O26" s="25"/>
      <c r="P26" s="66">
        <f t="shared" si="11"/>
        <v>0</v>
      </c>
      <c r="Q26" s="28"/>
      <c r="R26" s="25"/>
      <c r="S26" s="25"/>
      <c r="T26" s="66">
        <f t="shared" si="12"/>
        <v>0</v>
      </c>
      <c r="U26" s="165">
        <f t="shared" si="7"/>
        <v>0</v>
      </c>
    </row>
    <row r="27" spans="1:22" s="13" customFormat="1">
      <c r="A27" s="199"/>
      <c r="B27" s="15" t="s">
        <v>48</v>
      </c>
      <c r="C27" s="78"/>
      <c r="D27" s="25"/>
      <c r="E27" s="310"/>
      <c r="F27" s="25"/>
      <c r="G27" s="25"/>
      <c r="H27" s="20">
        <f t="shared" si="16"/>
        <v>0</v>
      </c>
      <c r="I27" s="28"/>
      <c r="J27" s="25"/>
      <c r="K27" s="25"/>
      <c r="L27" s="22">
        <f t="shared" si="8"/>
        <v>0</v>
      </c>
      <c r="M27" s="28"/>
      <c r="N27" s="25"/>
      <c r="O27" s="25"/>
      <c r="P27" s="66">
        <f t="shared" si="11"/>
        <v>0</v>
      </c>
      <c r="Q27" s="28"/>
      <c r="R27" s="25"/>
      <c r="S27" s="25"/>
      <c r="T27" s="66">
        <f t="shared" si="12"/>
        <v>0</v>
      </c>
      <c r="U27" s="165">
        <f t="shared" si="7"/>
        <v>0</v>
      </c>
    </row>
    <row r="28" spans="1:22" s="13" customFormat="1">
      <c r="A28" s="199"/>
      <c r="B28" s="15" t="s">
        <v>58</v>
      </c>
      <c r="C28" s="78"/>
      <c r="D28" s="25"/>
      <c r="E28" s="310"/>
      <c r="F28" s="25"/>
      <c r="G28" s="25"/>
      <c r="H28" s="20">
        <f t="shared" si="16"/>
        <v>0</v>
      </c>
      <c r="I28" s="28"/>
      <c r="J28" s="25"/>
      <c r="K28" s="25"/>
      <c r="L28" s="22">
        <f t="shared" si="8"/>
        <v>0</v>
      </c>
      <c r="M28" s="28"/>
      <c r="N28" s="25"/>
      <c r="O28" s="25"/>
      <c r="P28" s="66">
        <f t="shared" si="11"/>
        <v>0</v>
      </c>
      <c r="Q28" s="28"/>
      <c r="R28" s="25"/>
      <c r="S28" s="25"/>
      <c r="T28" s="66">
        <f t="shared" si="12"/>
        <v>0</v>
      </c>
      <c r="U28" s="165">
        <f t="shared" si="7"/>
        <v>0</v>
      </c>
    </row>
    <row r="29" spans="1:22" s="13" customFormat="1" ht="15.75" customHeight="1">
      <c r="A29" s="199"/>
      <c r="B29" s="15" t="s">
        <v>53</v>
      </c>
      <c r="C29" s="78"/>
      <c r="D29" s="25"/>
      <c r="E29" s="310"/>
      <c r="F29" s="25"/>
      <c r="G29" s="25"/>
      <c r="H29" s="20">
        <f t="shared" si="16"/>
        <v>0</v>
      </c>
      <c r="I29" s="28"/>
      <c r="J29" s="25"/>
      <c r="K29" s="25"/>
      <c r="L29" s="22">
        <f t="shared" si="8"/>
        <v>0</v>
      </c>
      <c r="M29" s="28"/>
      <c r="N29" s="25"/>
      <c r="O29" s="25"/>
      <c r="P29" s="66">
        <f t="shared" si="11"/>
        <v>0</v>
      </c>
      <c r="Q29" s="28"/>
      <c r="R29" s="25"/>
      <c r="S29" s="25"/>
      <c r="T29" s="66">
        <f t="shared" si="12"/>
        <v>0</v>
      </c>
      <c r="U29" s="165">
        <f t="shared" si="7"/>
        <v>0</v>
      </c>
    </row>
    <row r="30" spans="1:22" s="13" customFormat="1">
      <c r="A30" s="199"/>
      <c r="B30" s="15" t="s">
        <v>83</v>
      </c>
      <c r="C30" s="78"/>
      <c r="D30" s="25"/>
      <c r="E30" s="310"/>
      <c r="F30" s="25"/>
      <c r="G30" s="25"/>
      <c r="H30" s="20">
        <f t="shared" si="16"/>
        <v>0</v>
      </c>
      <c r="I30" s="28"/>
      <c r="J30" s="25"/>
      <c r="K30" s="29">
        <f>326.47+240.94+200+200+220.6+453.8</f>
        <v>1641.81</v>
      </c>
      <c r="L30" s="22">
        <f t="shared" si="8"/>
        <v>1641.81</v>
      </c>
      <c r="M30" s="28"/>
      <c r="N30" s="25"/>
      <c r="O30" s="25"/>
      <c r="P30" s="66">
        <f t="shared" si="11"/>
        <v>0</v>
      </c>
      <c r="Q30" s="28"/>
      <c r="R30" s="29"/>
      <c r="S30" s="29">
        <v>200</v>
      </c>
      <c r="T30" s="66">
        <f t="shared" si="12"/>
        <v>200</v>
      </c>
      <c r="U30" s="165">
        <f t="shared" si="7"/>
        <v>1841.81</v>
      </c>
    </row>
    <row r="31" spans="1:22" s="13" customFormat="1" ht="15.75" thickBot="1">
      <c r="A31" s="173"/>
      <c r="B31" s="151" t="s">
        <v>43</v>
      </c>
      <c r="C31" s="192"/>
      <c r="D31" s="153"/>
      <c r="E31" s="311"/>
      <c r="F31" s="154"/>
      <c r="G31" s="154"/>
      <c r="H31" s="155">
        <f>H11-H15</f>
        <v>36192.982000000018</v>
      </c>
      <c r="I31" s="156"/>
      <c r="J31" s="154"/>
      <c r="K31" s="154"/>
      <c r="L31" s="155">
        <f>L11-L15</f>
        <v>34865.67200000002</v>
      </c>
      <c r="M31" s="157"/>
      <c r="N31" s="157"/>
      <c r="O31" s="154"/>
      <c r="P31" s="155">
        <f>P11-P15</f>
        <v>65666.012000000046</v>
      </c>
      <c r="Q31" s="156"/>
      <c r="R31" s="154"/>
      <c r="S31" s="154"/>
      <c r="T31" s="155">
        <f>T11-T15</f>
        <v>-166154.158</v>
      </c>
      <c r="U31" s="170">
        <f t="shared" si="7"/>
        <v>-29429.491999999911</v>
      </c>
      <c r="V31" s="126"/>
    </row>
    <row r="32" spans="1:22" s="13" customFormat="1">
      <c r="A32" s="51"/>
      <c r="B32" s="52"/>
      <c r="C32" s="51"/>
      <c r="D32" s="50"/>
      <c r="E32" s="50"/>
    </row>
    <row r="33" spans="1:16" ht="18.75">
      <c r="A33" s="4"/>
      <c r="B33" s="4"/>
      <c r="C33" s="4"/>
      <c r="D33" s="2"/>
      <c r="E33" s="2"/>
      <c r="F33" s="2"/>
      <c r="G33" s="2"/>
      <c r="H33" s="3"/>
      <c r="I33" s="2"/>
      <c r="J33" s="2"/>
      <c r="K33" s="2"/>
      <c r="L33" s="3"/>
      <c r="P33" s="1"/>
    </row>
    <row r="34" spans="1:16" ht="18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">
    <mergeCell ref="A1:L1"/>
    <mergeCell ref="A2:L2"/>
    <mergeCell ref="A3:L3"/>
  </mergeCells>
  <pageMargins left="0.23622047244094491" right="0.23622047244094491" top="0.74803149606299213" bottom="0.74803149606299213" header="0.31496062992125984" footer="0.31496062992125984"/>
  <pageSetup paperSize="9" scale="57" orientation="landscape" horizontalDpi="180" verticalDpi="180" r:id="rId1"/>
  <colBreaks count="1" manualBreakCount="1">
    <brk id="23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zoomScaleNormal="100" workbookViewId="0">
      <selection activeCell="A35" sqref="A35:XFD35"/>
    </sheetView>
  </sheetViews>
  <sheetFormatPr defaultRowHeight="15"/>
  <cols>
    <col min="1" max="1" width="5.7109375" customWidth="1"/>
    <col min="2" max="2" width="32" customWidth="1"/>
    <col min="3" max="3" width="9.42578125" customWidth="1"/>
    <col min="4" max="5" width="9.5703125" customWidth="1"/>
    <col min="6" max="6" width="10.5703125" customWidth="1"/>
    <col min="7" max="7" width="9.28515625" customWidth="1"/>
    <col min="8" max="8" width="9.85546875" customWidth="1"/>
    <col min="9" max="9" width="9.28515625" customWidth="1"/>
    <col min="10" max="10" width="10.140625" customWidth="1"/>
    <col min="11" max="11" width="9.140625" customWidth="1"/>
    <col min="12" max="12" width="10" customWidth="1"/>
    <col min="13" max="19" width="9.140625" customWidth="1"/>
    <col min="20" max="20" width="9.42578125" customWidth="1"/>
    <col min="21" max="25" width="9.140625" customWidth="1"/>
  </cols>
  <sheetData>
    <row r="1" spans="1:21" s="13" customForma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Q1" s="13" t="s">
        <v>94</v>
      </c>
    </row>
    <row r="2" spans="1:21" s="13" customFormat="1">
      <c r="A2" s="368" t="s">
        <v>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Q2" s="13" t="s">
        <v>95</v>
      </c>
    </row>
    <row r="3" spans="1:21" s="13" customFormat="1">
      <c r="A3" s="374" t="s">
        <v>113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Q3" s="367" t="s">
        <v>138</v>
      </c>
      <c r="R3" s="367"/>
      <c r="S3" s="367"/>
      <c r="T3" s="367"/>
      <c r="U3" s="367"/>
    </row>
    <row r="4" spans="1:21" s="13" customFormat="1">
      <c r="B4" s="13" t="s">
        <v>75</v>
      </c>
      <c r="K4" s="13">
        <f>5586.3+106.8+2</f>
        <v>5695.1</v>
      </c>
      <c r="L4" s="14"/>
    </row>
    <row r="5" spans="1:21" s="13" customFormat="1">
      <c r="A5" s="15"/>
      <c r="B5" s="16" t="s">
        <v>2</v>
      </c>
      <c r="C5" s="18" t="s">
        <v>3</v>
      </c>
      <c r="D5" s="16" t="s">
        <v>4</v>
      </c>
      <c r="E5" s="286" t="s">
        <v>3</v>
      </c>
      <c r="F5" s="16" t="s">
        <v>5</v>
      </c>
      <c r="G5" s="16" t="s">
        <v>6</v>
      </c>
      <c r="H5" s="122" t="s">
        <v>7</v>
      </c>
      <c r="I5" s="17" t="s">
        <v>8</v>
      </c>
      <c r="J5" s="16" t="s">
        <v>9</v>
      </c>
      <c r="K5" s="16" t="s">
        <v>10</v>
      </c>
      <c r="L5" s="18" t="s">
        <v>11</v>
      </c>
      <c r="M5" s="17" t="s">
        <v>54</v>
      </c>
      <c r="N5" s="16" t="s">
        <v>55</v>
      </c>
      <c r="O5" s="16" t="s">
        <v>56</v>
      </c>
      <c r="P5" s="18" t="s">
        <v>57</v>
      </c>
      <c r="Q5" s="17" t="s">
        <v>63</v>
      </c>
      <c r="R5" s="17" t="s">
        <v>64</v>
      </c>
      <c r="S5" s="17" t="s">
        <v>65</v>
      </c>
      <c r="T5" s="18" t="s">
        <v>66</v>
      </c>
      <c r="U5" s="15" t="s">
        <v>71</v>
      </c>
    </row>
    <row r="6" spans="1:21" s="13" customFormat="1" ht="27.75" customHeight="1">
      <c r="A6" s="19" t="s">
        <v>12</v>
      </c>
      <c r="B6" s="19" t="s">
        <v>13</v>
      </c>
      <c r="C6" s="21"/>
      <c r="D6" s="20">
        <f>SUM(D7:D10)</f>
        <v>98866.935999999987</v>
      </c>
      <c r="E6" s="287"/>
      <c r="F6" s="20">
        <f t="shared" ref="F6:T6" si="0">SUM(F7:F10)</f>
        <v>98866.936000000002</v>
      </c>
      <c r="G6" s="20">
        <f t="shared" si="0"/>
        <v>98866.936000000002</v>
      </c>
      <c r="H6" s="20">
        <f t="shared" si="0"/>
        <v>296618.16800000001</v>
      </c>
      <c r="I6" s="20">
        <f t="shared" si="0"/>
        <v>98866.936000000002</v>
      </c>
      <c r="J6" s="20">
        <f t="shared" si="0"/>
        <v>98866.936000000002</v>
      </c>
      <c r="K6" s="20">
        <f t="shared" si="0"/>
        <v>98866.936000000002</v>
      </c>
      <c r="L6" s="20">
        <f t="shared" si="0"/>
        <v>296600.80800000002</v>
      </c>
      <c r="M6" s="20">
        <f t="shared" si="0"/>
        <v>98866.936000000002</v>
      </c>
      <c r="N6" s="20">
        <f t="shared" si="0"/>
        <v>98866.936000000002</v>
      </c>
      <c r="O6" s="20">
        <f t="shared" si="0"/>
        <v>98866.936000000002</v>
      </c>
      <c r="P6" s="20">
        <f t="shared" si="0"/>
        <v>296600.80800000002</v>
      </c>
      <c r="Q6" s="20">
        <f t="shared" si="0"/>
        <v>98866.936000000002</v>
      </c>
      <c r="R6" s="20">
        <f t="shared" si="0"/>
        <v>98866.936000000002</v>
      </c>
      <c r="S6" s="20">
        <f t="shared" si="0"/>
        <v>98866.936000000002</v>
      </c>
      <c r="T6" s="20">
        <f t="shared" si="0"/>
        <v>296600.80800000002</v>
      </c>
      <c r="U6" s="22">
        <f t="shared" ref="U6:U12" si="1">H6+L6+P6+T6</f>
        <v>1186420.5919999999</v>
      </c>
    </row>
    <row r="7" spans="1:21" s="13" customFormat="1">
      <c r="A7" s="23" t="s">
        <v>14</v>
      </c>
      <c r="B7" s="24" t="s">
        <v>15</v>
      </c>
      <c r="C7" s="27">
        <v>12.36</v>
      </c>
      <c r="D7" s="25">
        <f>C7*$K$4</f>
        <v>70391.436000000002</v>
      </c>
      <c r="E7" s="288">
        <v>11.94</v>
      </c>
      <c r="F7" s="25">
        <f>E7*K4</f>
        <v>67999.494000000006</v>
      </c>
      <c r="G7" s="25">
        <f>F7</f>
        <v>67999.494000000006</v>
      </c>
      <c r="H7" s="20">
        <f>SUM(D7:G7)</f>
        <v>206402.364</v>
      </c>
      <c r="I7" s="25">
        <f>G7</f>
        <v>67999.494000000006</v>
      </c>
      <c r="J7" s="25">
        <f>I7</f>
        <v>67999.494000000006</v>
      </c>
      <c r="K7" s="25">
        <f>J7</f>
        <v>67999.494000000006</v>
      </c>
      <c r="L7" s="22">
        <f>I7+J7+K7</f>
        <v>203998.48200000002</v>
      </c>
      <c r="M7" s="25">
        <f>K7</f>
        <v>67999.494000000006</v>
      </c>
      <c r="N7" s="25">
        <f>M7</f>
        <v>67999.494000000006</v>
      </c>
      <c r="O7" s="25">
        <f>N7</f>
        <v>67999.494000000006</v>
      </c>
      <c r="P7" s="22">
        <f>SUM(M7:O7)</f>
        <v>203998.48200000002</v>
      </c>
      <c r="Q7" s="28">
        <f>O7</f>
        <v>67999.494000000006</v>
      </c>
      <c r="R7" s="28">
        <f>Q7</f>
        <v>67999.494000000006</v>
      </c>
      <c r="S7" s="28">
        <f>R7</f>
        <v>67999.494000000006</v>
      </c>
      <c r="T7" s="22">
        <f>SUM(Q7:S7)</f>
        <v>203998.48200000002</v>
      </c>
      <c r="U7" s="25">
        <f t="shared" si="1"/>
        <v>818397.81</v>
      </c>
    </row>
    <row r="8" spans="1:21" s="13" customFormat="1">
      <c r="A8" s="23" t="s">
        <v>16</v>
      </c>
      <c r="B8" s="24" t="s">
        <v>17</v>
      </c>
      <c r="C8" s="27">
        <v>2.57</v>
      </c>
      <c r="D8" s="25">
        <f>C8*K4</f>
        <v>14636.406999999999</v>
      </c>
      <c r="E8" s="288">
        <v>2.8</v>
      </c>
      <c r="F8" s="25">
        <f>E8*K4</f>
        <v>15946.28</v>
      </c>
      <c r="G8" s="25">
        <f>E8*K4</f>
        <v>15946.28</v>
      </c>
      <c r="H8" s="20">
        <f t="shared" ref="H8:H10" si="2">SUM(D8:G8)</f>
        <v>46531.767</v>
      </c>
      <c r="I8" s="25">
        <f>E8*K4</f>
        <v>15946.28</v>
      </c>
      <c r="J8" s="25">
        <f>E8*K4</f>
        <v>15946.28</v>
      </c>
      <c r="K8" s="25">
        <f>E8*K4</f>
        <v>15946.28</v>
      </c>
      <c r="L8" s="22">
        <f>I8+J8+K8</f>
        <v>47838.840000000004</v>
      </c>
      <c r="M8" s="25">
        <f>E8*K4</f>
        <v>15946.28</v>
      </c>
      <c r="N8" s="25">
        <f>E8*K4</f>
        <v>15946.28</v>
      </c>
      <c r="O8" s="25">
        <f>E8*K4</f>
        <v>15946.28</v>
      </c>
      <c r="P8" s="22">
        <f t="shared" ref="P8:P10" si="3">SUM(M8:O8)</f>
        <v>47838.840000000004</v>
      </c>
      <c r="Q8" s="28">
        <f>E8*K4</f>
        <v>15946.28</v>
      </c>
      <c r="R8" s="28">
        <f>E8*K4</f>
        <v>15946.28</v>
      </c>
      <c r="S8" s="28">
        <f>E8*K4</f>
        <v>15946.28</v>
      </c>
      <c r="T8" s="22">
        <f t="shared" ref="T8:T10" si="4">SUM(Q8:S8)</f>
        <v>47838.840000000004</v>
      </c>
      <c r="U8" s="25">
        <f t="shared" si="1"/>
        <v>190048.28700000001</v>
      </c>
    </row>
    <row r="9" spans="1:21" s="13" customFormat="1">
      <c r="A9" s="23" t="s">
        <v>18</v>
      </c>
      <c r="B9" s="24" t="s">
        <v>30</v>
      </c>
      <c r="C9" s="27">
        <v>1.86</v>
      </c>
      <c r="D9" s="25">
        <f t="shared" ref="D9:D10" si="5">C9*$K$4</f>
        <v>10592.886</v>
      </c>
      <c r="E9" s="288">
        <v>2.2000000000000002</v>
      </c>
      <c r="F9" s="25">
        <f>E9*K4</f>
        <v>12529.220000000001</v>
      </c>
      <c r="G9" s="25">
        <f>E9*K4</f>
        <v>12529.220000000001</v>
      </c>
      <c r="H9" s="20">
        <f t="shared" si="2"/>
        <v>35653.526000000005</v>
      </c>
      <c r="I9" s="25">
        <f>E9*K4</f>
        <v>12529.220000000001</v>
      </c>
      <c r="J9" s="25">
        <f>E9*K4</f>
        <v>12529.220000000001</v>
      </c>
      <c r="K9" s="25">
        <f>E9*K4</f>
        <v>12529.220000000001</v>
      </c>
      <c r="L9" s="22">
        <f>I9+J9+K9</f>
        <v>37587.660000000003</v>
      </c>
      <c r="M9" s="25">
        <f>E9*K4</f>
        <v>12529.220000000001</v>
      </c>
      <c r="N9" s="25">
        <f>E9*K4</f>
        <v>12529.220000000001</v>
      </c>
      <c r="O9" s="25">
        <f>E9*K4</f>
        <v>12529.220000000001</v>
      </c>
      <c r="P9" s="22">
        <f t="shared" si="3"/>
        <v>37587.660000000003</v>
      </c>
      <c r="Q9" s="28">
        <f>E9*K4</f>
        <v>12529.220000000001</v>
      </c>
      <c r="R9" s="28">
        <f>E9*K4</f>
        <v>12529.220000000001</v>
      </c>
      <c r="S9" s="28">
        <f>E9*K4</f>
        <v>12529.220000000001</v>
      </c>
      <c r="T9" s="22">
        <f t="shared" si="4"/>
        <v>37587.660000000003</v>
      </c>
      <c r="U9" s="25">
        <f t="shared" si="1"/>
        <v>148416.50600000002</v>
      </c>
    </row>
    <row r="10" spans="1:21" s="13" customFormat="1" ht="15.75" thickBot="1">
      <c r="A10" s="32" t="s">
        <v>31</v>
      </c>
      <c r="B10" s="81" t="s">
        <v>19</v>
      </c>
      <c r="C10" s="48">
        <v>0.56999999999999995</v>
      </c>
      <c r="D10" s="34">
        <f t="shared" si="5"/>
        <v>3246.2069999999999</v>
      </c>
      <c r="E10" s="289">
        <v>0.42</v>
      </c>
      <c r="F10" s="34">
        <f>E10*K4</f>
        <v>2391.942</v>
      </c>
      <c r="G10" s="34">
        <f>F10</f>
        <v>2391.942</v>
      </c>
      <c r="H10" s="66">
        <f t="shared" si="2"/>
        <v>8030.5109999999995</v>
      </c>
      <c r="I10" s="34">
        <f>G10</f>
        <v>2391.942</v>
      </c>
      <c r="J10" s="34">
        <f>I10</f>
        <v>2391.942</v>
      </c>
      <c r="K10" s="34">
        <f>J10</f>
        <v>2391.942</v>
      </c>
      <c r="L10" s="84">
        <f>I10+J10+K10</f>
        <v>7175.826</v>
      </c>
      <c r="M10" s="34">
        <f>K10</f>
        <v>2391.942</v>
      </c>
      <c r="N10" s="34">
        <f>M10</f>
        <v>2391.942</v>
      </c>
      <c r="O10" s="34">
        <f>N10</f>
        <v>2391.942</v>
      </c>
      <c r="P10" s="84">
        <f t="shared" si="3"/>
        <v>7175.826</v>
      </c>
      <c r="Q10" s="58">
        <f>O10</f>
        <v>2391.942</v>
      </c>
      <c r="R10" s="58">
        <f>Q10</f>
        <v>2391.942</v>
      </c>
      <c r="S10" s="58">
        <f>R10</f>
        <v>2391.942</v>
      </c>
      <c r="T10" s="84">
        <f t="shared" si="4"/>
        <v>7175.826</v>
      </c>
      <c r="U10" s="34">
        <f t="shared" si="1"/>
        <v>29557.989000000001</v>
      </c>
    </row>
    <row r="11" spans="1:21" s="13" customFormat="1" ht="15.75" thickBot="1">
      <c r="A11" s="36" t="s">
        <v>32</v>
      </c>
      <c r="B11" s="37" t="s">
        <v>20</v>
      </c>
      <c r="C11" s="41"/>
      <c r="D11" s="38">
        <v>81758.12</v>
      </c>
      <c r="E11" s="290"/>
      <c r="F11" s="38">
        <v>89368.02</v>
      </c>
      <c r="G11" s="38">
        <v>84139.74</v>
      </c>
      <c r="H11" s="119">
        <f>D11+F11+G11</f>
        <v>255265.88</v>
      </c>
      <c r="I11" s="40">
        <v>91163.49</v>
      </c>
      <c r="J11" s="38">
        <v>126198.14</v>
      </c>
      <c r="K11" s="38">
        <v>79948.94</v>
      </c>
      <c r="L11" s="68">
        <f>I11+J11+K11+K12+K13</f>
        <v>309787.82</v>
      </c>
      <c r="M11" s="40">
        <v>102884.44</v>
      </c>
      <c r="N11" s="38">
        <v>90154.44</v>
      </c>
      <c r="O11" s="38">
        <v>112643.31</v>
      </c>
      <c r="P11" s="68">
        <f>M11+N11+O11+O12+O13</f>
        <v>315195.34999999998</v>
      </c>
      <c r="Q11" s="40">
        <v>120506.47</v>
      </c>
      <c r="R11" s="40">
        <v>102025.63</v>
      </c>
      <c r="S11" s="40">
        <v>141163.79</v>
      </c>
      <c r="T11" s="68">
        <f>SUM(Q11:S11)+S12+S13</f>
        <v>377965.39</v>
      </c>
      <c r="U11" s="171">
        <f t="shared" si="1"/>
        <v>1258214.44</v>
      </c>
    </row>
    <row r="12" spans="1:21" s="13" customFormat="1">
      <c r="A12" s="44"/>
      <c r="B12" s="45" t="s">
        <v>38</v>
      </c>
      <c r="C12" s="89"/>
      <c r="D12" s="46"/>
      <c r="E12" s="291"/>
      <c r="F12" s="46"/>
      <c r="G12" s="240">
        <v>3708.1</v>
      </c>
      <c r="H12" s="98"/>
      <c r="I12" s="76"/>
      <c r="J12" s="46"/>
      <c r="K12" s="232">
        <v>5877.25</v>
      </c>
      <c r="L12" s="85"/>
      <c r="M12" s="76"/>
      <c r="N12" s="46"/>
      <c r="O12" s="232">
        <f>9513.16</f>
        <v>9513.16</v>
      </c>
      <c r="P12" s="85"/>
      <c r="Q12" s="76"/>
      <c r="R12" s="76"/>
      <c r="S12" s="231">
        <f>5869.5</f>
        <v>5869.5</v>
      </c>
      <c r="T12" s="85"/>
      <c r="U12" s="46">
        <f t="shared" si="1"/>
        <v>0</v>
      </c>
    </row>
    <row r="13" spans="1:21" s="13" customFormat="1">
      <c r="A13" s="23"/>
      <c r="B13" s="15" t="s">
        <v>72</v>
      </c>
      <c r="C13" s="27"/>
      <c r="D13" s="25"/>
      <c r="E13" s="288"/>
      <c r="F13" s="25"/>
      <c r="G13" s="25"/>
      <c r="H13" s="20"/>
      <c r="I13" s="28"/>
      <c r="J13" s="25"/>
      <c r="K13" s="29">
        <v>6600</v>
      </c>
      <c r="L13" s="22"/>
      <c r="M13" s="28"/>
      <c r="N13" s="25"/>
      <c r="O13" s="25"/>
      <c r="P13" s="22"/>
      <c r="Q13" s="28"/>
      <c r="R13" s="28"/>
      <c r="S13" s="30">
        <f>6600+1800</f>
        <v>8400</v>
      </c>
      <c r="T13" s="22"/>
      <c r="U13" s="25"/>
    </row>
    <row r="14" spans="1:21" s="13" customFormat="1">
      <c r="A14" s="23"/>
      <c r="B14" s="15" t="s">
        <v>21</v>
      </c>
      <c r="C14" s="27"/>
      <c r="D14" s="25">
        <f>D11-D6</f>
        <v>-17108.815999999992</v>
      </c>
      <c r="E14" s="288"/>
      <c r="F14" s="25">
        <f t="shared" ref="F14:T14" si="6">F11-F6</f>
        <v>-9498.9159999999974</v>
      </c>
      <c r="G14" s="25">
        <f t="shared" si="6"/>
        <v>-14727.195999999996</v>
      </c>
      <c r="H14" s="22">
        <f t="shared" si="6"/>
        <v>-41352.288</v>
      </c>
      <c r="I14" s="28">
        <f t="shared" si="6"/>
        <v>-7703.4459999999963</v>
      </c>
      <c r="J14" s="25">
        <f t="shared" si="6"/>
        <v>27331.203999999998</v>
      </c>
      <c r="K14" s="25">
        <f t="shared" si="6"/>
        <v>-18917.995999999999</v>
      </c>
      <c r="L14" s="22">
        <f t="shared" si="6"/>
        <v>13187.011999999988</v>
      </c>
      <c r="M14" s="28">
        <f t="shared" si="6"/>
        <v>4017.5040000000008</v>
      </c>
      <c r="N14" s="25">
        <f t="shared" si="6"/>
        <v>-8712.4959999999992</v>
      </c>
      <c r="O14" s="25">
        <f t="shared" si="6"/>
        <v>13776.373999999996</v>
      </c>
      <c r="P14" s="22">
        <f t="shared" si="6"/>
        <v>18594.541999999958</v>
      </c>
      <c r="Q14" s="28">
        <f t="shared" si="6"/>
        <v>21639.534</v>
      </c>
      <c r="R14" s="28">
        <f t="shared" si="6"/>
        <v>3158.6940000000031</v>
      </c>
      <c r="S14" s="28">
        <f t="shared" si="6"/>
        <v>42296.854000000007</v>
      </c>
      <c r="T14" s="22">
        <f t="shared" si="6"/>
        <v>81364.581999999995</v>
      </c>
      <c r="U14" s="25">
        <f t="shared" ref="U14:U31" si="7">H14+L14+P14+T14</f>
        <v>71793.84799999994</v>
      </c>
    </row>
    <row r="15" spans="1:21" s="13" customFormat="1" hidden="1">
      <c r="A15" s="23"/>
      <c r="B15" s="15"/>
      <c r="C15" s="27"/>
      <c r="D15" s="25"/>
      <c r="E15" s="288"/>
      <c r="F15" s="25"/>
      <c r="G15" s="25"/>
      <c r="H15" s="20"/>
      <c r="I15" s="28"/>
      <c r="J15" s="25"/>
      <c r="K15" s="25"/>
      <c r="L15" s="22"/>
      <c r="M15" s="28"/>
      <c r="N15" s="25"/>
      <c r="O15" s="25"/>
      <c r="P15" s="22"/>
      <c r="Q15" s="28"/>
      <c r="R15" s="28"/>
      <c r="S15" s="28"/>
      <c r="T15" s="22"/>
      <c r="U15" s="25">
        <f t="shared" si="7"/>
        <v>0</v>
      </c>
    </row>
    <row r="16" spans="1:21" s="13" customFormat="1" ht="25.5" customHeight="1">
      <c r="A16" s="31" t="s">
        <v>22</v>
      </c>
      <c r="B16" s="19" t="s">
        <v>23</v>
      </c>
      <c r="C16" s="27"/>
      <c r="D16" s="22">
        <f>SUM(D17:D25)</f>
        <v>57497.242999999995</v>
      </c>
      <c r="E16" s="288"/>
      <c r="F16" s="22">
        <f>SUM(F17:F25)</f>
        <v>69209.661000000007</v>
      </c>
      <c r="G16" s="22">
        <f>SUM(G17:G25)</f>
        <v>76387.760999999999</v>
      </c>
      <c r="H16" s="20">
        <f>SUM(D16:G16)</f>
        <v>203094.66500000001</v>
      </c>
      <c r="I16" s="22">
        <f>SUM(I17:I25)</f>
        <v>72146.661000000007</v>
      </c>
      <c r="J16" s="22">
        <f>SUM(J17:J25)</f>
        <v>75446.660999999993</v>
      </c>
      <c r="K16" s="22">
        <f>SUM(K17:K25)</f>
        <v>131331.66100000002</v>
      </c>
      <c r="L16" s="22">
        <f t="shared" ref="L16:L29" si="8">I16+J16+K16</f>
        <v>278924.98300000001</v>
      </c>
      <c r="M16" s="22">
        <f>SUM(M17:M25)</f>
        <v>68967.661000000007</v>
      </c>
      <c r="N16" s="22">
        <f>SUM(N17:N25)</f>
        <v>80230.661000000022</v>
      </c>
      <c r="O16" s="22">
        <f>SUM(O17:O25)</f>
        <v>77327.660999999993</v>
      </c>
      <c r="P16" s="20">
        <f>SUM(M16:O16)</f>
        <v>226525.98300000004</v>
      </c>
      <c r="Q16" s="22">
        <f>SUM(Q17:Q25)</f>
        <v>75026.660999999993</v>
      </c>
      <c r="R16" s="22">
        <f>SUM(R17:R25)</f>
        <v>81310.661000000022</v>
      </c>
      <c r="S16" s="22">
        <f>SUM(S17:S25)</f>
        <v>85912.661000000022</v>
      </c>
      <c r="T16" s="20">
        <f>SUM(Q16:S16)</f>
        <v>242249.98300000004</v>
      </c>
      <c r="U16" s="22">
        <f t="shared" si="7"/>
        <v>950795.61400000006</v>
      </c>
    </row>
    <row r="17" spans="1:22" s="13" customFormat="1">
      <c r="A17" s="23" t="s">
        <v>24</v>
      </c>
      <c r="B17" s="15" t="s">
        <v>17</v>
      </c>
      <c r="C17" s="27">
        <v>2.57</v>
      </c>
      <c r="D17" s="25">
        <f t="shared" ref="D17:D23" si="9">C17*$K$4</f>
        <v>14636.406999999999</v>
      </c>
      <c r="E17" s="288">
        <v>2.8</v>
      </c>
      <c r="F17" s="25">
        <f>E17*K4</f>
        <v>15946.28</v>
      </c>
      <c r="G17" s="25">
        <f>E17*K4</f>
        <v>15946.28</v>
      </c>
      <c r="H17" s="20">
        <f>SUM(D17:G17)</f>
        <v>46531.767</v>
      </c>
      <c r="I17" s="25">
        <f>E17*K4</f>
        <v>15946.28</v>
      </c>
      <c r="J17" s="25">
        <f>E17*K4</f>
        <v>15946.28</v>
      </c>
      <c r="K17" s="25">
        <f>E17*K4</f>
        <v>15946.28</v>
      </c>
      <c r="L17" s="22">
        <f t="shared" si="8"/>
        <v>47838.840000000004</v>
      </c>
      <c r="M17" s="25">
        <f>E17*K4</f>
        <v>15946.28</v>
      </c>
      <c r="N17" s="25">
        <f>E17*K4</f>
        <v>15946.28</v>
      </c>
      <c r="O17" s="25">
        <f>E17*K4</f>
        <v>15946.28</v>
      </c>
      <c r="P17" s="20">
        <f>SUM(M17:O17)</f>
        <v>47838.840000000004</v>
      </c>
      <c r="Q17" s="28">
        <f>E17*K4</f>
        <v>15946.28</v>
      </c>
      <c r="R17" s="28">
        <f>E17*K4</f>
        <v>15946.28</v>
      </c>
      <c r="S17" s="28">
        <f>E17*K4</f>
        <v>15946.28</v>
      </c>
      <c r="T17" s="20">
        <f>SUM(Q17:S17)</f>
        <v>47838.840000000004</v>
      </c>
      <c r="U17" s="25">
        <f t="shared" si="7"/>
        <v>190048.28700000001</v>
      </c>
    </row>
    <row r="18" spans="1:22" s="13" customFormat="1">
      <c r="A18" s="23" t="s">
        <v>25</v>
      </c>
      <c r="B18" s="15" t="s">
        <v>26</v>
      </c>
      <c r="C18" s="27">
        <v>2.99</v>
      </c>
      <c r="D18" s="25">
        <f t="shared" si="9"/>
        <v>17028.349000000002</v>
      </c>
      <c r="E18" s="288">
        <v>3.99</v>
      </c>
      <c r="F18" s="25">
        <f>E18*K4</f>
        <v>22723.449000000004</v>
      </c>
      <c r="G18" s="25">
        <f>F18</f>
        <v>22723.449000000004</v>
      </c>
      <c r="H18" s="20">
        <f t="shared" ref="H18:H30" si="10">SUM(D18:G18)</f>
        <v>62479.237000000008</v>
      </c>
      <c r="I18" s="25">
        <f>G18</f>
        <v>22723.449000000004</v>
      </c>
      <c r="J18" s="25">
        <f>I18</f>
        <v>22723.449000000004</v>
      </c>
      <c r="K18" s="25">
        <f>J18</f>
        <v>22723.449000000004</v>
      </c>
      <c r="L18" s="22">
        <f t="shared" si="8"/>
        <v>68170.347000000009</v>
      </c>
      <c r="M18" s="25">
        <f>K18</f>
        <v>22723.449000000004</v>
      </c>
      <c r="N18" s="25">
        <f>M18</f>
        <v>22723.449000000004</v>
      </c>
      <c r="O18" s="25">
        <f>N18</f>
        <v>22723.449000000004</v>
      </c>
      <c r="P18" s="20">
        <f>SUM(M18:O18)</f>
        <v>68170.347000000009</v>
      </c>
      <c r="Q18" s="28">
        <f>O18</f>
        <v>22723.449000000004</v>
      </c>
      <c r="R18" s="28">
        <f>Q18</f>
        <v>22723.449000000004</v>
      </c>
      <c r="S18" s="28">
        <f>R18</f>
        <v>22723.449000000004</v>
      </c>
      <c r="T18" s="20">
        <f>SUM(Q18:S18)</f>
        <v>68170.347000000009</v>
      </c>
      <c r="U18" s="25">
        <f t="shared" si="7"/>
        <v>266990.27800000005</v>
      </c>
    </row>
    <row r="19" spans="1:22" s="13" customFormat="1" ht="15.75" thickBot="1">
      <c r="A19" s="32" t="s">
        <v>27</v>
      </c>
      <c r="B19" s="33" t="s">
        <v>30</v>
      </c>
      <c r="C19" s="48">
        <v>1.86</v>
      </c>
      <c r="D19" s="34">
        <f t="shared" si="9"/>
        <v>10592.886</v>
      </c>
      <c r="E19" s="289">
        <v>2.2000000000000002</v>
      </c>
      <c r="F19" s="34">
        <f>E19*K4</f>
        <v>12529.220000000001</v>
      </c>
      <c r="G19" s="34">
        <f>E19*K4</f>
        <v>12529.220000000001</v>
      </c>
      <c r="H19" s="66">
        <f t="shared" si="10"/>
        <v>35653.526000000005</v>
      </c>
      <c r="I19" s="34">
        <f>E19*K4</f>
        <v>12529.220000000001</v>
      </c>
      <c r="J19" s="34">
        <f>E19*K4</f>
        <v>12529.220000000001</v>
      </c>
      <c r="K19" s="34">
        <f>E19*K4</f>
        <v>12529.220000000001</v>
      </c>
      <c r="L19" s="84">
        <f t="shared" si="8"/>
        <v>37587.660000000003</v>
      </c>
      <c r="M19" s="34">
        <f>E19*K4</f>
        <v>12529.220000000001</v>
      </c>
      <c r="N19" s="34">
        <f>E19*K4</f>
        <v>12529.220000000001</v>
      </c>
      <c r="O19" s="34">
        <f>E19*K4</f>
        <v>12529.220000000001</v>
      </c>
      <c r="P19" s="66">
        <f t="shared" ref="P19:P30" si="11">SUM(M19:O19)</f>
        <v>37587.660000000003</v>
      </c>
      <c r="Q19" s="58">
        <f>E19*K4</f>
        <v>12529.220000000001</v>
      </c>
      <c r="R19" s="58">
        <f>E19*K4</f>
        <v>12529.220000000001</v>
      </c>
      <c r="S19" s="58">
        <f>E19*K4</f>
        <v>12529.220000000001</v>
      </c>
      <c r="T19" s="66">
        <f t="shared" ref="T19:T30" si="12">SUM(Q19:S19)</f>
        <v>37587.660000000003</v>
      </c>
      <c r="U19" s="34">
        <f t="shared" si="7"/>
        <v>148416.50600000002</v>
      </c>
    </row>
    <row r="20" spans="1:22" s="13" customFormat="1" ht="18.75" customHeight="1" thickBot="1">
      <c r="A20" s="130" t="s">
        <v>28</v>
      </c>
      <c r="B20" s="131" t="s">
        <v>104</v>
      </c>
      <c r="C20" s="41"/>
      <c r="D20" s="38">
        <v>6640</v>
      </c>
      <c r="E20" s="290"/>
      <c r="F20" s="38">
        <v>242</v>
      </c>
      <c r="G20" s="38">
        <v>6057</v>
      </c>
      <c r="H20" s="119">
        <f t="shared" si="10"/>
        <v>12939</v>
      </c>
      <c r="I20" s="40">
        <v>3179</v>
      </c>
      <c r="J20" s="38">
        <v>6479</v>
      </c>
      <c r="K20" s="38">
        <v>62364</v>
      </c>
      <c r="L20" s="68">
        <f t="shared" si="8"/>
        <v>72022</v>
      </c>
      <c r="M20" s="40">
        <v>0</v>
      </c>
      <c r="N20" s="38">
        <v>11263</v>
      </c>
      <c r="O20" s="38">
        <v>8360</v>
      </c>
      <c r="P20" s="119">
        <f t="shared" si="11"/>
        <v>19623</v>
      </c>
      <c r="Q20" s="40">
        <v>6059</v>
      </c>
      <c r="R20" s="40">
        <v>12343</v>
      </c>
      <c r="S20" s="129">
        <v>16745</v>
      </c>
      <c r="T20" s="119">
        <f t="shared" si="12"/>
        <v>35147</v>
      </c>
      <c r="U20" s="132">
        <f t="shared" si="7"/>
        <v>139731</v>
      </c>
    </row>
    <row r="21" spans="1:22" s="13" customFormat="1">
      <c r="A21" s="44" t="s">
        <v>33</v>
      </c>
      <c r="B21" s="45" t="s">
        <v>39</v>
      </c>
      <c r="C21" s="128">
        <v>0.82</v>
      </c>
      <c r="D21" s="46">
        <f t="shared" si="9"/>
        <v>4669.982</v>
      </c>
      <c r="E21" s="292">
        <v>1</v>
      </c>
      <c r="F21" s="46">
        <f>E21*K4</f>
        <v>5695.1</v>
      </c>
      <c r="G21" s="46">
        <f>F21</f>
        <v>5695.1</v>
      </c>
      <c r="H21" s="98">
        <f t="shared" si="10"/>
        <v>16061.182000000001</v>
      </c>
      <c r="I21" s="46">
        <f>G21</f>
        <v>5695.1</v>
      </c>
      <c r="J21" s="46">
        <f>I21</f>
        <v>5695.1</v>
      </c>
      <c r="K21" s="46">
        <f>J21</f>
        <v>5695.1</v>
      </c>
      <c r="L21" s="85">
        <f t="shared" si="8"/>
        <v>17085.300000000003</v>
      </c>
      <c r="M21" s="46">
        <f>K21</f>
        <v>5695.1</v>
      </c>
      <c r="N21" s="46">
        <f t="shared" ref="N21:O23" si="13">M21</f>
        <v>5695.1</v>
      </c>
      <c r="O21" s="46">
        <f t="shared" si="13"/>
        <v>5695.1</v>
      </c>
      <c r="P21" s="124">
        <f t="shared" si="11"/>
        <v>17085.300000000003</v>
      </c>
      <c r="Q21" s="76">
        <f>O21</f>
        <v>5695.1</v>
      </c>
      <c r="R21" s="76">
        <f t="shared" ref="R21:S23" si="14">Q21</f>
        <v>5695.1</v>
      </c>
      <c r="S21" s="76">
        <f t="shared" si="14"/>
        <v>5695.1</v>
      </c>
      <c r="T21" s="124">
        <f t="shared" si="12"/>
        <v>17085.300000000003</v>
      </c>
      <c r="U21" s="46">
        <f t="shared" si="7"/>
        <v>67317.082000000009</v>
      </c>
    </row>
    <row r="22" spans="1:22" s="13" customFormat="1">
      <c r="A22" s="23" t="s">
        <v>34</v>
      </c>
      <c r="B22" s="15" t="s">
        <v>41</v>
      </c>
      <c r="C22" s="48">
        <v>0.12</v>
      </c>
      <c r="D22" s="25">
        <f t="shared" si="9"/>
        <v>683.41200000000003</v>
      </c>
      <c r="E22" s="289">
        <v>0.2</v>
      </c>
      <c r="F22" s="25">
        <f>E22*K4</f>
        <v>1139.0200000000002</v>
      </c>
      <c r="G22" s="25">
        <f>F22</f>
        <v>1139.0200000000002</v>
      </c>
      <c r="H22" s="20">
        <f t="shared" si="10"/>
        <v>2961.6520000000005</v>
      </c>
      <c r="I22" s="25">
        <f>G22</f>
        <v>1139.0200000000002</v>
      </c>
      <c r="J22" s="25">
        <f>I22</f>
        <v>1139.0200000000002</v>
      </c>
      <c r="K22" s="25">
        <f>J22</f>
        <v>1139.0200000000002</v>
      </c>
      <c r="L22" s="22">
        <f t="shared" si="8"/>
        <v>3417.0600000000004</v>
      </c>
      <c r="M22" s="25">
        <f>K22</f>
        <v>1139.0200000000002</v>
      </c>
      <c r="N22" s="25">
        <f t="shared" si="13"/>
        <v>1139.0200000000002</v>
      </c>
      <c r="O22" s="25">
        <f t="shared" si="13"/>
        <v>1139.0200000000002</v>
      </c>
      <c r="P22" s="66">
        <f t="shared" si="11"/>
        <v>3417.0600000000004</v>
      </c>
      <c r="Q22" s="28">
        <f>O22</f>
        <v>1139.0200000000002</v>
      </c>
      <c r="R22" s="28">
        <f t="shared" si="14"/>
        <v>1139.0200000000002</v>
      </c>
      <c r="S22" s="28">
        <f t="shared" si="14"/>
        <v>1139.0200000000002</v>
      </c>
      <c r="T22" s="66">
        <f t="shared" si="12"/>
        <v>3417.0600000000004</v>
      </c>
      <c r="U22" s="25">
        <f t="shared" si="7"/>
        <v>13212.832000000002</v>
      </c>
    </row>
    <row r="23" spans="1:22" s="13" customFormat="1">
      <c r="A23" s="23" t="s">
        <v>35</v>
      </c>
      <c r="B23" s="15" t="s">
        <v>29</v>
      </c>
      <c r="C23" s="27">
        <v>0.56999999999999995</v>
      </c>
      <c r="D23" s="25">
        <f t="shared" si="9"/>
        <v>3246.2069999999999</v>
      </c>
      <c r="E23" s="288">
        <v>0.42</v>
      </c>
      <c r="F23" s="25">
        <f>E23*K4</f>
        <v>2391.942</v>
      </c>
      <c r="G23" s="25">
        <f>E23*K4</f>
        <v>2391.942</v>
      </c>
      <c r="H23" s="20">
        <f t="shared" si="10"/>
        <v>8030.5109999999995</v>
      </c>
      <c r="I23" s="25">
        <f>E23*K4</f>
        <v>2391.942</v>
      </c>
      <c r="J23" s="25">
        <f>E23*K4</f>
        <v>2391.942</v>
      </c>
      <c r="K23" s="25">
        <f>J23</f>
        <v>2391.942</v>
      </c>
      <c r="L23" s="22">
        <f t="shared" si="8"/>
        <v>7175.826</v>
      </c>
      <c r="M23" s="25">
        <f>K23</f>
        <v>2391.942</v>
      </c>
      <c r="N23" s="25">
        <f t="shared" si="13"/>
        <v>2391.942</v>
      </c>
      <c r="O23" s="25">
        <f t="shared" si="13"/>
        <v>2391.942</v>
      </c>
      <c r="P23" s="66">
        <f t="shared" si="11"/>
        <v>7175.826</v>
      </c>
      <c r="Q23" s="28">
        <f>O23</f>
        <v>2391.942</v>
      </c>
      <c r="R23" s="28">
        <f t="shared" si="14"/>
        <v>2391.942</v>
      </c>
      <c r="S23" s="28">
        <f t="shared" si="14"/>
        <v>2391.942</v>
      </c>
      <c r="T23" s="66">
        <f t="shared" si="12"/>
        <v>7175.826</v>
      </c>
      <c r="U23" s="25">
        <f t="shared" si="7"/>
        <v>29557.989000000001</v>
      </c>
    </row>
    <row r="24" spans="1:22" s="13" customFormat="1">
      <c r="A24" s="23" t="s">
        <v>124</v>
      </c>
      <c r="B24" s="15" t="s">
        <v>123</v>
      </c>
      <c r="C24" s="27"/>
      <c r="D24" s="25"/>
      <c r="E24" s="288">
        <v>1.5</v>
      </c>
      <c r="F24" s="25">
        <f>E24*K4</f>
        <v>8542.6500000000015</v>
      </c>
      <c r="G24" s="25">
        <f>F24</f>
        <v>8542.6500000000015</v>
      </c>
      <c r="H24" s="20">
        <f>D24+F24+G24</f>
        <v>17085.300000000003</v>
      </c>
      <c r="I24" s="25">
        <f>G24</f>
        <v>8542.6500000000015</v>
      </c>
      <c r="J24" s="25">
        <f>I24</f>
        <v>8542.6500000000015</v>
      </c>
      <c r="K24" s="25">
        <f>J24</f>
        <v>8542.6500000000015</v>
      </c>
      <c r="L24" s="22">
        <f>I24+J24+K24</f>
        <v>25627.950000000004</v>
      </c>
      <c r="M24" s="25">
        <f>K24</f>
        <v>8542.6500000000015</v>
      </c>
      <c r="N24" s="25">
        <f>M24</f>
        <v>8542.6500000000015</v>
      </c>
      <c r="O24" s="25">
        <f>N24</f>
        <v>8542.6500000000015</v>
      </c>
      <c r="P24" s="66">
        <f>O24+N24+M24</f>
        <v>25627.950000000004</v>
      </c>
      <c r="Q24" s="28">
        <f>O24</f>
        <v>8542.6500000000015</v>
      </c>
      <c r="R24" s="28">
        <f>Q24</f>
        <v>8542.6500000000015</v>
      </c>
      <c r="S24" s="28">
        <f>R24</f>
        <v>8542.6500000000015</v>
      </c>
      <c r="T24" s="66">
        <f>S24+R24+Q24</f>
        <v>25627.950000000004</v>
      </c>
      <c r="U24" s="25">
        <f t="shared" si="7"/>
        <v>93969.150000000023</v>
      </c>
    </row>
    <row r="25" spans="1:22" s="13" customFormat="1">
      <c r="A25" s="23" t="s">
        <v>125</v>
      </c>
      <c r="B25" s="15" t="s">
        <v>84</v>
      </c>
      <c r="C25" s="27"/>
      <c r="D25" s="25">
        <f>SUM(D27:D30)</f>
        <v>0</v>
      </c>
      <c r="E25" s="288"/>
      <c r="F25" s="25">
        <f>SUM(F27:F30)</f>
        <v>0</v>
      </c>
      <c r="G25" s="29">
        <f>SUM(G27:G30)</f>
        <v>1363.1</v>
      </c>
      <c r="H25" s="20">
        <f t="shared" si="10"/>
        <v>1363.1</v>
      </c>
      <c r="I25" s="25">
        <f>SUM(I27:I30)</f>
        <v>0</v>
      </c>
      <c r="J25" s="25">
        <f>SUM(J27:J30)</f>
        <v>0</v>
      </c>
      <c r="K25" s="25">
        <f>SUM(K27:K30)</f>
        <v>0</v>
      </c>
      <c r="L25" s="22">
        <f t="shared" si="8"/>
        <v>0</v>
      </c>
      <c r="M25" s="25">
        <f>SUM(M27:M30)</f>
        <v>0</v>
      </c>
      <c r="N25" s="25">
        <f>SUM(N27:N30)</f>
        <v>0</v>
      </c>
      <c r="O25" s="25">
        <f>SUM(O27:O30)</f>
        <v>0</v>
      </c>
      <c r="P25" s="66">
        <f t="shared" si="11"/>
        <v>0</v>
      </c>
      <c r="Q25" s="28">
        <f>SUM(Q27:Q30)</f>
        <v>0</v>
      </c>
      <c r="R25" s="28">
        <f>SUM(R27:R30)</f>
        <v>0</v>
      </c>
      <c r="S25" s="30">
        <f>SUM(S27:S30)</f>
        <v>200</v>
      </c>
      <c r="T25" s="66">
        <f t="shared" si="12"/>
        <v>200</v>
      </c>
      <c r="U25" s="25">
        <f t="shared" si="7"/>
        <v>1563.1</v>
      </c>
    </row>
    <row r="26" spans="1:22" s="13" customFormat="1">
      <c r="A26" s="23"/>
      <c r="B26" s="15" t="s">
        <v>44</v>
      </c>
      <c r="C26" s="49"/>
      <c r="D26" s="25"/>
      <c r="E26" s="293"/>
      <c r="F26" s="25"/>
      <c r="G26" s="25"/>
      <c r="H26" s="20">
        <f t="shared" si="10"/>
        <v>0</v>
      </c>
      <c r="I26" s="28"/>
      <c r="J26" s="25"/>
      <c r="K26" s="25"/>
      <c r="L26" s="22">
        <f t="shared" si="8"/>
        <v>0</v>
      </c>
      <c r="M26" s="28"/>
      <c r="N26" s="25"/>
      <c r="O26" s="25"/>
      <c r="P26" s="66">
        <f t="shared" si="11"/>
        <v>0</v>
      </c>
      <c r="Q26" s="28"/>
      <c r="R26" s="28"/>
      <c r="S26" s="28"/>
      <c r="T26" s="66">
        <f t="shared" si="12"/>
        <v>0</v>
      </c>
      <c r="U26" s="25">
        <f t="shared" si="7"/>
        <v>0</v>
      </c>
    </row>
    <row r="27" spans="1:22" s="13" customFormat="1">
      <c r="A27" s="23"/>
      <c r="B27" s="15" t="s">
        <v>47</v>
      </c>
      <c r="C27" s="49"/>
      <c r="D27" s="25"/>
      <c r="E27" s="293"/>
      <c r="F27" s="25"/>
      <c r="G27" s="25"/>
      <c r="H27" s="20">
        <f t="shared" si="10"/>
        <v>0</v>
      </c>
      <c r="I27" s="28"/>
      <c r="J27" s="25"/>
      <c r="K27" s="25"/>
      <c r="L27" s="22">
        <f t="shared" si="8"/>
        <v>0</v>
      </c>
      <c r="M27" s="30"/>
      <c r="N27" s="25"/>
      <c r="O27" s="25"/>
      <c r="P27" s="66">
        <f t="shared" si="11"/>
        <v>0</v>
      </c>
      <c r="Q27" s="28"/>
      <c r="R27" s="28"/>
      <c r="S27" s="28"/>
      <c r="T27" s="66">
        <f t="shared" si="12"/>
        <v>0</v>
      </c>
      <c r="U27" s="25">
        <f t="shared" si="7"/>
        <v>0</v>
      </c>
    </row>
    <row r="28" spans="1:22" s="13" customFormat="1">
      <c r="A28" s="23"/>
      <c r="B28" s="15" t="s">
        <v>48</v>
      </c>
      <c r="C28" s="49"/>
      <c r="D28" s="25"/>
      <c r="E28" s="293"/>
      <c r="F28" s="25"/>
      <c r="G28" s="25"/>
      <c r="H28" s="20">
        <f t="shared" si="10"/>
        <v>0</v>
      </c>
      <c r="I28" s="28"/>
      <c r="J28" s="25"/>
      <c r="K28" s="25"/>
      <c r="L28" s="22">
        <f t="shared" si="8"/>
        <v>0</v>
      </c>
      <c r="M28" s="28"/>
      <c r="N28" s="25"/>
      <c r="O28" s="25"/>
      <c r="P28" s="66">
        <f t="shared" si="11"/>
        <v>0</v>
      </c>
      <c r="Q28" s="28"/>
      <c r="R28" s="28"/>
      <c r="S28" s="28"/>
      <c r="T28" s="66">
        <f t="shared" si="12"/>
        <v>0</v>
      </c>
      <c r="U28" s="25">
        <f t="shared" si="7"/>
        <v>0</v>
      </c>
    </row>
    <row r="29" spans="1:22" s="13" customFormat="1">
      <c r="A29" s="23"/>
      <c r="B29" s="15" t="s">
        <v>83</v>
      </c>
      <c r="C29" s="22"/>
      <c r="D29" s="25"/>
      <c r="E29" s="294"/>
      <c r="F29" s="25"/>
      <c r="G29" s="25">
        <v>1363.1</v>
      </c>
      <c r="H29" s="20">
        <f t="shared" si="10"/>
        <v>1363.1</v>
      </c>
      <c r="I29" s="28"/>
      <c r="J29" s="25"/>
      <c r="K29" s="25"/>
      <c r="L29" s="22">
        <f t="shared" si="8"/>
        <v>0</v>
      </c>
      <c r="M29" s="28"/>
      <c r="N29" s="25"/>
      <c r="O29" s="25"/>
      <c r="P29" s="66">
        <f t="shared" si="11"/>
        <v>0</v>
      </c>
      <c r="Q29" s="28"/>
      <c r="R29" s="30"/>
      <c r="S29" s="30">
        <v>200</v>
      </c>
      <c r="T29" s="66">
        <f t="shared" si="12"/>
        <v>200</v>
      </c>
      <c r="U29" s="25">
        <f t="shared" si="7"/>
        <v>1563.1</v>
      </c>
    </row>
    <row r="30" spans="1:22" s="13" customFormat="1">
      <c r="A30" s="23"/>
      <c r="B30" s="15" t="s">
        <v>53</v>
      </c>
      <c r="C30" s="22"/>
      <c r="D30" s="25"/>
      <c r="E30" s="294"/>
      <c r="F30" s="25"/>
      <c r="G30" s="25"/>
      <c r="H30" s="20">
        <f t="shared" si="10"/>
        <v>0</v>
      </c>
      <c r="I30" s="28"/>
      <c r="J30" s="25"/>
      <c r="K30" s="25"/>
      <c r="L30" s="66">
        <f t="shared" ref="L30" si="15">SUM(I30:K30)</f>
        <v>0</v>
      </c>
      <c r="M30" s="28"/>
      <c r="N30" s="25"/>
      <c r="O30" s="29"/>
      <c r="P30" s="66">
        <f t="shared" si="11"/>
        <v>0</v>
      </c>
      <c r="Q30" s="28"/>
      <c r="R30" s="28"/>
      <c r="S30" s="28"/>
      <c r="T30" s="66">
        <f t="shared" si="12"/>
        <v>0</v>
      </c>
      <c r="U30" s="25">
        <f t="shared" si="7"/>
        <v>0</v>
      </c>
    </row>
    <row r="31" spans="1:22" s="13" customFormat="1">
      <c r="A31" s="23"/>
      <c r="B31" s="15" t="s">
        <v>43</v>
      </c>
      <c r="C31" s="22"/>
      <c r="D31" s="29"/>
      <c r="E31" s="294"/>
      <c r="F31" s="25"/>
      <c r="G31" s="25"/>
      <c r="H31" s="20">
        <f>H11-H16</f>
        <v>52171.214999999997</v>
      </c>
      <c r="I31" s="28"/>
      <c r="J31" s="25"/>
      <c r="K31" s="25"/>
      <c r="L31" s="20">
        <f>L11-L16</f>
        <v>30862.837</v>
      </c>
      <c r="M31" s="26"/>
      <c r="N31" s="26"/>
      <c r="O31" s="25"/>
      <c r="P31" s="20">
        <f>P11-P16</f>
        <v>88669.36699999994</v>
      </c>
      <c r="Q31" s="28"/>
      <c r="R31" s="28"/>
      <c r="S31" s="28"/>
      <c r="T31" s="20">
        <f>T11-T16</f>
        <v>135715.40699999998</v>
      </c>
      <c r="U31" s="25">
        <f t="shared" si="7"/>
        <v>307418.82599999988</v>
      </c>
      <c r="V31" s="126"/>
    </row>
    <row r="32" spans="1:22" s="13" customFormat="1">
      <c r="A32" s="51"/>
      <c r="B32" s="52"/>
      <c r="C32" s="51"/>
      <c r="D32" s="50"/>
      <c r="E32" s="50"/>
    </row>
    <row r="33" spans="1:12" ht="18.75">
      <c r="A33" s="4"/>
      <c r="B33" s="4"/>
      <c r="C33" s="4"/>
      <c r="D33" s="2"/>
      <c r="E33" s="2"/>
      <c r="F33" s="2"/>
      <c r="G33" s="2"/>
      <c r="H33" s="2"/>
      <c r="I33" s="2"/>
      <c r="J33" s="2"/>
      <c r="K33" s="2"/>
      <c r="L33" s="2"/>
    </row>
    <row r="34" spans="1:12" ht="18.75">
      <c r="A34" s="4"/>
      <c r="B34" s="4"/>
      <c r="C34" s="4"/>
      <c r="D34" s="2"/>
      <c r="E34" s="2"/>
      <c r="F34" s="2"/>
      <c r="G34" s="2"/>
      <c r="H34" s="2"/>
      <c r="I34" s="2"/>
      <c r="J34" s="2"/>
      <c r="K34" s="2"/>
      <c r="L34" s="2"/>
    </row>
  </sheetData>
  <mergeCells count="3">
    <mergeCell ref="A1:L1"/>
    <mergeCell ref="A2:L2"/>
    <mergeCell ref="A3:L3"/>
  </mergeCells>
  <pageMargins left="0.23622047244094491" right="0.23622047244094491" top="0.74803149606299213" bottom="0.74803149606299213" header="0.31496062992125984" footer="0.31496062992125984"/>
  <pageSetup paperSize="9" scale="6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5"/>
  <sheetViews>
    <sheetView zoomScaleNormal="100" workbookViewId="0">
      <selection activeCell="A36" sqref="A36:XFD36"/>
    </sheetView>
  </sheetViews>
  <sheetFormatPr defaultRowHeight="15"/>
  <cols>
    <col min="1" max="1" width="3.85546875" customWidth="1"/>
    <col min="2" max="2" width="34.5703125" customWidth="1"/>
    <col min="3" max="3" width="8.42578125" customWidth="1"/>
    <col min="4" max="6" width="9" customWidth="1"/>
    <col min="7" max="7" width="8.85546875" customWidth="1"/>
    <col min="8" max="8" width="9.28515625" customWidth="1"/>
    <col min="9" max="9" width="9.5703125" customWidth="1"/>
    <col min="10" max="10" width="10.7109375" customWidth="1"/>
    <col min="11" max="11" width="8.5703125" customWidth="1"/>
    <col min="12" max="13" width="9.7109375" customWidth="1"/>
    <col min="14" max="20" width="9.140625" customWidth="1"/>
    <col min="21" max="21" width="10.85546875" customWidth="1"/>
    <col min="22" max="22" width="10" customWidth="1"/>
    <col min="23" max="24" width="9.140625" customWidth="1"/>
  </cols>
  <sheetData>
    <row r="1" spans="1:23" s="13" customForma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1"/>
      <c r="S1" s="13" t="s">
        <v>94</v>
      </c>
    </row>
    <row r="2" spans="1:23" s="13" customFormat="1">
      <c r="A2" s="368" t="s">
        <v>140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1"/>
      <c r="S2" s="13" t="s">
        <v>95</v>
      </c>
    </row>
    <row r="3" spans="1:23" s="13" customFormat="1">
      <c r="A3" s="374" t="s">
        <v>114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64"/>
      <c r="S3" s="373" t="s">
        <v>138</v>
      </c>
      <c r="T3" s="373"/>
      <c r="U3" s="373"/>
      <c r="V3" s="373"/>
      <c r="W3" s="373"/>
    </row>
    <row r="4" spans="1:23" s="13" customFormat="1" ht="15.75" thickBot="1">
      <c r="B4" s="13" t="s">
        <v>76</v>
      </c>
      <c r="K4" s="13">
        <f>5589.2+107.11-1.2</f>
        <v>5695.11</v>
      </c>
    </row>
    <row r="5" spans="1:23" s="13" customFormat="1">
      <c r="A5" s="134"/>
      <c r="B5" s="135" t="s">
        <v>2</v>
      </c>
      <c r="C5" s="206" t="s">
        <v>3</v>
      </c>
      <c r="D5" s="135" t="s">
        <v>4</v>
      </c>
      <c r="E5" s="206" t="s">
        <v>3</v>
      </c>
      <c r="F5" s="135" t="s">
        <v>5</v>
      </c>
      <c r="G5" s="135" t="s">
        <v>6</v>
      </c>
      <c r="H5" s="137" t="s">
        <v>7</v>
      </c>
      <c r="I5" s="138" t="s">
        <v>8</v>
      </c>
      <c r="J5" s="135" t="s">
        <v>9</v>
      </c>
      <c r="K5" s="135" t="s">
        <v>10</v>
      </c>
      <c r="L5" s="139" t="s">
        <v>11</v>
      </c>
      <c r="M5" s="206" t="s">
        <v>3</v>
      </c>
      <c r="N5" s="138" t="s">
        <v>54</v>
      </c>
      <c r="O5" s="138" t="s">
        <v>55</v>
      </c>
      <c r="P5" s="138" t="s">
        <v>56</v>
      </c>
      <c r="Q5" s="139" t="s">
        <v>57</v>
      </c>
      <c r="R5" s="138" t="s">
        <v>63</v>
      </c>
      <c r="S5" s="138" t="s">
        <v>64</v>
      </c>
      <c r="T5" s="138" t="s">
        <v>65</v>
      </c>
      <c r="U5" s="139" t="s">
        <v>66</v>
      </c>
      <c r="V5" s="140" t="s">
        <v>71</v>
      </c>
      <c r="W5" s="14"/>
    </row>
    <row r="6" spans="1:23" s="13" customFormat="1" ht="26.25" customHeight="1">
      <c r="A6" s="141" t="s">
        <v>12</v>
      </c>
      <c r="B6" s="19" t="s">
        <v>13</v>
      </c>
      <c r="C6" s="207"/>
      <c r="D6" s="20">
        <f>SUM(D7:D10)</f>
        <v>93342.852899999998</v>
      </c>
      <c r="E6" s="207"/>
      <c r="F6" s="20">
        <f t="shared" ref="F6:U6" si="0">SUM(F7:F10)</f>
        <v>93342.852899999998</v>
      </c>
      <c r="G6" s="20">
        <f t="shared" si="0"/>
        <v>93342.852899999998</v>
      </c>
      <c r="H6" s="20">
        <f t="shared" si="0"/>
        <v>280042.14870000002</v>
      </c>
      <c r="I6" s="20">
        <f t="shared" si="0"/>
        <v>93342.852899999998</v>
      </c>
      <c r="J6" s="20">
        <f t="shared" si="0"/>
        <v>93342.852899999998</v>
      </c>
      <c r="K6" s="20">
        <f t="shared" si="0"/>
        <v>80813.6109</v>
      </c>
      <c r="L6" s="20">
        <f t="shared" si="0"/>
        <v>267499.31669999997</v>
      </c>
      <c r="M6" s="207"/>
      <c r="N6" s="20">
        <f t="shared" si="0"/>
        <v>96589.065600000002</v>
      </c>
      <c r="O6" s="20">
        <f t="shared" si="0"/>
        <v>96589.065600000002</v>
      </c>
      <c r="P6" s="20">
        <f t="shared" si="0"/>
        <v>96589.065600000002</v>
      </c>
      <c r="Q6" s="20">
        <f t="shared" si="0"/>
        <v>289767.19680000003</v>
      </c>
      <c r="R6" s="20">
        <f t="shared" si="0"/>
        <v>96589.065600000002</v>
      </c>
      <c r="S6" s="20">
        <f t="shared" si="0"/>
        <v>96589.065600000002</v>
      </c>
      <c r="T6" s="20">
        <f t="shared" si="0"/>
        <v>96589.065600000002</v>
      </c>
      <c r="U6" s="20">
        <f t="shared" si="0"/>
        <v>289767.19680000003</v>
      </c>
      <c r="V6" s="142">
        <f t="shared" ref="V6:V12" si="1">H6+L6+Q6+U6</f>
        <v>1127075.8590000002</v>
      </c>
      <c r="W6" s="14"/>
    </row>
    <row r="7" spans="1:23" s="13" customFormat="1">
      <c r="A7" s="143" t="s">
        <v>14</v>
      </c>
      <c r="B7" s="15" t="s">
        <v>15</v>
      </c>
      <c r="C7" s="203">
        <v>11.39</v>
      </c>
      <c r="D7" s="25">
        <f>C7*K4</f>
        <v>64867.302900000002</v>
      </c>
      <c r="E7" s="203">
        <v>10.97</v>
      </c>
      <c r="F7" s="25">
        <f>E7*K4</f>
        <v>62475.356699999997</v>
      </c>
      <c r="G7" s="25">
        <f>F7</f>
        <v>62475.356699999997</v>
      </c>
      <c r="H7" s="20">
        <f>SUM(D7:G7)</f>
        <v>189828.98629999999</v>
      </c>
      <c r="I7" s="25">
        <f>G7</f>
        <v>62475.356699999997</v>
      </c>
      <c r="J7" s="25">
        <f>I7</f>
        <v>62475.356699999997</v>
      </c>
      <c r="K7" s="25">
        <f>J7</f>
        <v>62475.356699999997</v>
      </c>
      <c r="L7" s="22">
        <f>I7+J7+K7</f>
        <v>187426.07009999998</v>
      </c>
      <c r="M7" s="203">
        <v>11.54</v>
      </c>
      <c r="N7" s="28">
        <f>M7*K4</f>
        <v>65721.569399999993</v>
      </c>
      <c r="O7" s="28">
        <f>N7</f>
        <v>65721.569399999993</v>
      </c>
      <c r="P7" s="28">
        <f>O7</f>
        <v>65721.569399999993</v>
      </c>
      <c r="Q7" s="22">
        <f>SUM(N7:P7)</f>
        <v>197164.70819999999</v>
      </c>
      <c r="R7" s="28">
        <f>P7</f>
        <v>65721.569399999993</v>
      </c>
      <c r="S7" s="28">
        <f>R7</f>
        <v>65721.569399999993</v>
      </c>
      <c r="T7" s="28">
        <f>S7</f>
        <v>65721.569399999993</v>
      </c>
      <c r="U7" s="22">
        <f>SUM(R7:T7)</f>
        <v>197164.70819999999</v>
      </c>
      <c r="V7" s="144">
        <f t="shared" si="1"/>
        <v>771584.47279999999</v>
      </c>
      <c r="W7" s="14"/>
    </row>
    <row r="8" spans="1:23" s="13" customFormat="1">
      <c r="A8" s="143" t="s">
        <v>16</v>
      </c>
      <c r="B8" s="15" t="s">
        <v>17</v>
      </c>
      <c r="C8" s="203">
        <v>2.57</v>
      </c>
      <c r="D8" s="25">
        <f t="shared" ref="D8:D10" si="2">C8*$K$4</f>
        <v>14636.432699999998</v>
      </c>
      <c r="E8" s="203">
        <v>2.8</v>
      </c>
      <c r="F8" s="25">
        <f>E8*K4</f>
        <v>15946.307999999997</v>
      </c>
      <c r="G8" s="25">
        <f>E8*K4</f>
        <v>15946.307999999997</v>
      </c>
      <c r="H8" s="20">
        <f>G8+F8+D8</f>
        <v>46529.048699999992</v>
      </c>
      <c r="I8" s="25">
        <f>E8*K4</f>
        <v>15946.307999999997</v>
      </c>
      <c r="J8" s="25">
        <f>E8*K4</f>
        <v>15946.307999999997</v>
      </c>
      <c r="K8" s="25">
        <f>E8*K4</f>
        <v>15946.307999999997</v>
      </c>
      <c r="L8" s="22">
        <f>I8+J8+K8</f>
        <v>47838.923999999992</v>
      </c>
      <c r="M8" s="203">
        <v>2.8</v>
      </c>
      <c r="N8" s="28">
        <f>E8*K4</f>
        <v>15946.307999999997</v>
      </c>
      <c r="O8" s="28">
        <f>E8*K4</f>
        <v>15946.307999999997</v>
      </c>
      <c r="P8" s="28">
        <f>E8*K4</f>
        <v>15946.307999999997</v>
      </c>
      <c r="Q8" s="22">
        <f t="shared" ref="Q8:Q10" si="3">SUM(N8:P8)</f>
        <v>47838.923999999992</v>
      </c>
      <c r="R8" s="28">
        <f>E8*K4</f>
        <v>15946.307999999997</v>
      </c>
      <c r="S8" s="28">
        <f>E8*K4</f>
        <v>15946.307999999997</v>
      </c>
      <c r="T8" s="28">
        <f>E8*K4</f>
        <v>15946.307999999997</v>
      </c>
      <c r="U8" s="22">
        <f t="shared" ref="U8:U10" si="4">SUM(R8:T8)</f>
        <v>47838.923999999992</v>
      </c>
      <c r="V8" s="144">
        <f>U8+Q8+L8+H8</f>
        <v>190045.82069999995</v>
      </c>
      <c r="W8" s="14"/>
    </row>
    <row r="9" spans="1:23" s="13" customFormat="1">
      <c r="A9" s="143" t="s">
        <v>18</v>
      </c>
      <c r="B9" s="15" t="s">
        <v>30</v>
      </c>
      <c r="C9" s="203">
        <v>1.86</v>
      </c>
      <c r="D9" s="25">
        <f t="shared" ref="D9" si="5">C9*$K$4</f>
        <v>10592.9046</v>
      </c>
      <c r="E9" s="203">
        <v>2.2000000000000002</v>
      </c>
      <c r="F9" s="25">
        <f>E9*K4</f>
        <v>12529.242</v>
      </c>
      <c r="G9" s="25">
        <f>E9*K4</f>
        <v>12529.242</v>
      </c>
      <c r="H9" s="20">
        <f t="shared" ref="H9:H10" si="6">SUM(D9:G9)</f>
        <v>35653.588600000003</v>
      </c>
      <c r="I9" s="25">
        <f>E9*K4</f>
        <v>12529.242</v>
      </c>
      <c r="J9" s="25">
        <f>E9*K4</f>
        <v>12529.242</v>
      </c>
      <c r="K9" s="358">
        <v>0</v>
      </c>
      <c r="L9" s="22">
        <f>I9+J9+K9</f>
        <v>25058.484</v>
      </c>
      <c r="M9" s="203">
        <v>2.2000000000000002</v>
      </c>
      <c r="N9" s="28">
        <f>E9*K4</f>
        <v>12529.242</v>
      </c>
      <c r="O9" s="28">
        <f>E9*K4</f>
        <v>12529.242</v>
      </c>
      <c r="P9" s="28">
        <f>E9*K4</f>
        <v>12529.242</v>
      </c>
      <c r="Q9" s="22">
        <f t="shared" si="3"/>
        <v>37587.726000000002</v>
      </c>
      <c r="R9" s="28">
        <f>E9*K4</f>
        <v>12529.242</v>
      </c>
      <c r="S9" s="28">
        <f>E9*K4</f>
        <v>12529.242</v>
      </c>
      <c r="T9" s="28">
        <f>E9*K4</f>
        <v>12529.242</v>
      </c>
      <c r="U9" s="22">
        <f t="shared" si="4"/>
        <v>37587.726000000002</v>
      </c>
      <c r="V9" s="144">
        <f t="shared" si="1"/>
        <v>135887.5246</v>
      </c>
      <c r="W9" s="14"/>
    </row>
    <row r="10" spans="1:23" s="13" customFormat="1" ht="15.75" thickBot="1">
      <c r="A10" s="146" t="s">
        <v>31</v>
      </c>
      <c r="B10" s="33" t="s">
        <v>19</v>
      </c>
      <c r="C10" s="204">
        <v>0.56999999999999995</v>
      </c>
      <c r="D10" s="34">
        <f t="shared" si="2"/>
        <v>3246.2126999999996</v>
      </c>
      <c r="E10" s="204">
        <v>0.42</v>
      </c>
      <c r="F10" s="34">
        <f>E10*K4</f>
        <v>2391.9461999999999</v>
      </c>
      <c r="G10" s="34">
        <f>E10*K4</f>
        <v>2391.9461999999999</v>
      </c>
      <c r="H10" s="66">
        <f t="shared" si="6"/>
        <v>8030.5250999999989</v>
      </c>
      <c r="I10" s="34">
        <f>E10*K4</f>
        <v>2391.9461999999999</v>
      </c>
      <c r="J10" s="34">
        <f>E10*K4</f>
        <v>2391.9461999999999</v>
      </c>
      <c r="K10" s="34">
        <f>E10*K4</f>
        <v>2391.9461999999999</v>
      </c>
      <c r="L10" s="84">
        <f>I10+J10+K10</f>
        <v>7175.8385999999991</v>
      </c>
      <c r="M10" s="204">
        <v>0.42</v>
      </c>
      <c r="N10" s="58">
        <f>E10*K4</f>
        <v>2391.9461999999999</v>
      </c>
      <c r="O10" s="58">
        <f>E10*K4</f>
        <v>2391.9461999999999</v>
      </c>
      <c r="P10" s="58">
        <f>O10</f>
        <v>2391.9461999999999</v>
      </c>
      <c r="Q10" s="84">
        <f t="shared" si="3"/>
        <v>7175.8385999999991</v>
      </c>
      <c r="R10" s="58">
        <f>P10</f>
        <v>2391.9461999999999</v>
      </c>
      <c r="S10" s="58">
        <f>R10</f>
        <v>2391.9461999999999</v>
      </c>
      <c r="T10" s="58">
        <f>S10</f>
        <v>2391.9461999999999</v>
      </c>
      <c r="U10" s="84">
        <f t="shared" si="4"/>
        <v>7175.8385999999991</v>
      </c>
      <c r="V10" s="147">
        <f t="shared" si="1"/>
        <v>29558.040899999996</v>
      </c>
      <c r="W10" s="14"/>
    </row>
    <row r="11" spans="1:23" s="13" customFormat="1" ht="15.75" thickBot="1">
      <c r="A11" s="36" t="s">
        <v>32</v>
      </c>
      <c r="B11" s="37" t="s">
        <v>20</v>
      </c>
      <c r="C11" s="208"/>
      <c r="D11" s="38">
        <v>82192.09</v>
      </c>
      <c r="E11" s="208"/>
      <c r="F11" s="38">
        <v>74566.39</v>
      </c>
      <c r="G11" s="38">
        <v>111612.1</v>
      </c>
      <c r="H11" s="119">
        <f>D11+F11+G11+G12</f>
        <v>271881.63999999996</v>
      </c>
      <c r="I11" s="40">
        <v>85365.8</v>
      </c>
      <c r="J11" s="38">
        <v>81668.02</v>
      </c>
      <c r="K11" s="38">
        <v>97977.45</v>
      </c>
      <c r="L11" s="68">
        <f>I11+J11+K11+K12+K13</f>
        <v>276877.86000000004</v>
      </c>
      <c r="M11" s="208"/>
      <c r="N11" s="40">
        <v>83282.880000000005</v>
      </c>
      <c r="O11" s="40">
        <v>85103.55</v>
      </c>
      <c r="P11" s="40">
        <v>89630.41</v>
      </c>
      <c r="Q11" s="68">
        <f>N11+O11+P11+P12+P13</f>
        <v>265160.83999999997</v>
      </c>
      <c r="R11" s="40">
        <v>80460.31</v>
      </c>
      <c r="S11" s="40">
        <v>84025.36</v>
      </c>
      <c r="T11" s="40">
        <v>82133.119999999995</v>
      </c>
      <c r="U11" s="68">
        <f>SUM(R11:T11)+T12+T13</f>
        <v>262467.28999999998</v>
      </c>
      <c r="V11" s="125">
        <f t="shared" si="1"/>
        <v>1076387.6299999999</v>
      </c>
      <c r="W11" s="14"/>
    </row>
    <row r="12" spans="1:23" s="13" customFormat="1">
      <c r="A12" s="148"/>
      <c r="B12" s="45" t="s">
        <v>38</v>
      </c>
      <c r="C12" s="205"/>
      <c r="D12" s="46"/>
      <c r="E12" s="205"/>
      <c r="F12" s="46"/>
      <c r="G12" s="232">
        <v>3511.06</v>
      </c>
      <c r="H12" s="98"/>
      <c r="I12" s="76"/>
      <c r="J12" s="46"/>
      <c r="K12" s="232">
        <f>5266.59</f>
        <v>5266.59</v>
      </c>
      <c r="L12" s="85"/>
      <c r="M12" s="205"/>
      <c r="N12" s="76"/>
      <c r="O12" s="76"/>
      <c r="P12" s="231">
        <v>7144</v>
      </c>
      <c r="Q12" s="85"/>
      <c r="R12" s="76"/>
      <c r="S12" s="76"/>
      <c r="T12" s="231">
        <f>7448.5</f>
        <v>7448.5</v>
      </c>
      <c r="U12" s="85"/>
      <c r="V12" s="149">
        <f t="shared" si="1"/>
        <v>0</v>
      </c>
      <c r="W12" s="14"/>
    </row>
    <row r="13" spans="1:23" s="13" customFormat="1">
      <c r="A13" s="143"/>
      <c r="B13" s="15" t="s">
        <v>72</v>
      </c>
      <c r="C13" s="203"/>
      <c r="D13" s="25"/>
      <c r="E13" s="203"/>
      <c r="F13" s="25"/>
      <c r="G13" s="25"/>
      <c r="H13" s="20"/>
      <c r="I13" s="28"/>
      <c r="J13" s="25"/>
      <c r="K13" s="29">
        <v>6600</v>
      </c>
      <c r="L13" s="22"/>
      <c r="M13" s="203"/>
      <c r="N13" s="28"/>
      <c r="O13" s="28"/>
      <c r="P13" s="28"/>
      <c r="Q13" s="22"/>
      <c r="R13" s="28"/>
      <c r="S13" s="28"/>
      <c r="T13" s="30">
        <f>6600+1800</f>
        <v>8400</v>
      </c>
      <c r="U13" s="22"/>
      <c r="V13" s="144"/>
      <c r="W13" s="14"/>
    </row>
    <row r="14" spans="1:23" s="13" customFormat="1">
      <c r="A14" s="143"/>
      <c r="B14" s="15" t="s">
        <v>21</v>
      </c>
      <c r="C14" s="203"/>
      <c r="D14" s="25">
        <f>D11-D6</f>
        <v>-11150.762900000002</v>
      </c>
      <c r="E14" s="203"/>
      <c r="F14" s="25">
        <f t="shared" ref="F14:U14" si="7">F11-F6</f>
        <v>-18776.462899999999</v>
      </c>
      <c r="G14" s="25">
        <f t="shared" si="7"/>
        <v>18269.247100000008</v>
      </c>
      <c r="H14" s="22">
        <f t="shared" si="7"/>
        <v>-8160.508700000064</v>
      </c>
      <c r="I14" s="28">
        <f t="shared" si="7"/>
        <v>-7977.0528999999951</v>
      </c>
      <c r="J14" s="25">
        <f t="shared" si="7"/>
        <v>-11674.832899999994</v>
      </c>
      <c r="K14" s="25">
        <f t="shared" si="7"/>
        <v>17163.839099999997</v>
      </c>
      <c r="L14" s="22">
        <f t="shared" si="7"/>
        <v>9378.5433000000776</v>
      </c>
      <c r="M14" s="203"/>
      <c r="N14" s="28">
        <f t="shared" si="7"/>
        <v>-13306.185599999997</v>
      </c>
      <c r="O14" s="28">
        <f t="shared" si="7"/>
        <v>-11485.515599999999</v>
      </c>
      <c r="P14" s="28">
        <f t="shared" si="7"/>
        <v>-6958.6555999999982</v>
      </c>
      <c r="Q14" s="22">
        <f t="shared" si="7"/>
        <v>-24606.356800000067</v>
      </c>
      <c r="R14" s="28">
        <f t="shared" si="7"/>
        <v>-16128.755600000004</v>
      </c>
      <c r="S14" s="28">
        <f t="shared" si="7"/>
        <v>-12563.705600000001</v>
      </c>
      <c r="T14" s="28">
        <f t="shared" si="7"/>
        <v>-14455.945600000006</v>
      </c>
      <c r="U14" s="22">
        <f t="shared" si="7"/>
        <v>-27299.906800000055</v>
      </c>
      <c r="V14" s="144">
        <f t="shared" ref="V14:V33" si="8">H14+L14+Q14+U14</f>
        <v>-50688.229000000108</v>
      </c>
      <c r="W14" s="14"/>
    </row>
    <row r="15" spans="1:23" s="13" customFormat="1">
      <c r="A15" s="143"/>
      <c r="B15" s="15"/>
      <c r="C15" s="203"/>
      <c r="D15" s="25"/>
      <c r="E15" s="203"/>
      <c r="F15" s="25"/>
      <c r="G15" s="25"/>
      <c r="H15" s="20"/>
      <c r="I15" s="28"/>
      <c r="J15" s="25"/>
      <c r="K15" s="25"/>
      <c r="L15" s="22"/>
      <c r="M15" s="203"/>
      <c r="N15" s="28"/>
      <c r="O15" s="28"/>
      <c r="P15" s="28"/>
      <c r="Q15" s="22"/>
      <c r="R15" s="28"/>
      <c r="S15" s="28"/>
      <c r="T15" s="28"/>
      <c r="U15" s="22"/>
      <c r="V15" s="144">
        <f t="shared" si="8"/>
        <v>0</v>
      </c>
      <c r="W15" s="14"/>
    </row>
    <row r="16" spans="1:23" s="13" customFormat="1" ht="24.75" customHeight="1">
      <c r="A16" s="141" t="s">
        <v>22</v>
      </c>
      <c r="B16" s="19" t="s">
        <v>23</v>
      </c>
      <c r="C16" s="203"/>
      <c r="D16" s="22">
        <f>SUM(D17:D25)</f>
        <v>84210.89959999999</v>
      </c>
      <c r="E16" s="203"/>
      <c r="F16" s="22">
        <f>SUM(F17:F25)</f>
        <v>75097.782099999997</v>
      </c>
      <c r="G16" s="22">
        <f>G17+G18+G19+G20+G21+G22+G23+G24+G25</f>
        <v>70542.702099999995</v>
      </c>
      <c r="H16" s="20">
        <f>SUM(D16:G16)</f>
        <v>229851.38379999998</v>
      </c>
      <c r="I16" s="22">
        <f>SUM(I17:I25)</f>
        <v>113066.7821</v>
      </c>
      <c r="J16" s="22">
        <f>SUM(J17:J25)</f>
        <v>164170.78209999998</v>
      </c>
      <c r="K16" s="22">
        <f>SUM(K17:K25)</f>
        <v>59986.250099999997</v>
      </c>
      <c r="L16" s="22">
        <f t="shared" ref="L16:L32" si="9">I16+J16+K16</f>
        <v>337223.81429999997</v>
      </c>
      <c r="M16" s="203"/>
      <c r="N16" s="22">
        <f>SUM(N17:N25)</f>
        <v>215585.78209999998</v>
      </c>
      <c r="O16" s="22">
        <f>SUM(O17:O25)</f>
        <v>95430.782099999997</v>
      </c>
      <c r="P16" s="22">
        <f>SUM(P17:P25)</f>
        <v>103757.7821</v>
      </c>
      <c r="Q16" s="20">
        <f>SUM(N16:P16)</f>
        <v>414774.34629999998</v>
      </c>
      <c r="R16" s="22">
        <f>SUM(R17:R25)</f>
        <v>70750.782099999997</v>
      </c>
      <c r="S16" s="22">
        <f>SUM(S17:S25)</f>
        <v>70310.782099999997</v>
      </c>
      <c r="T16" s="22">
        <f>SUM(T17:T25)</f>
        <v>78052.782099999997</v>
      </c>
      <c r="U16" s="20">
        <f>SUM(R16:T16)</f>
        <v>219114.34629999998</v>
      </c>
      <c r="V16" s="142">
        <f t="shared" si="8"/>
        <v>1200963.8906999999</v>
      </c>
      <c r="W16" s="14"/>
    </row>
    <row r="17" spans="1:23" s="13" customFormat="1">
      <c r="A17" s="143" t="s">
        <v>24</v>
      </c>
      <c r="B17" s="15" t="s">
        <v>17</v>
      </c>
      <c r="C17" s="203">
        <v>2.57</v>
      </c>
      <c r="D17" s="25">
        <v>14636</v>
      </c>
      <c r="E17" s="203">
        <v>2.8</v>
      </c>
      <c r="F17" s="25">
        <f>E17*K4</f>
        <v>15946.307999999997</v>
      </c>
      <c r="G17" s="25">
        <f>E17*K4</f>
        <v>15946.307999999997</v>
      </c>
      <c r="H17" s="20">
        <f>G17+F17+D17</f>
        <v>46528.615999999995</v>
      </c>
      <c r="I17" s="25">
        <f>E17*K4</f>
        <v>15946.307999999997</v>
      </c>
      <c r="J17" s="25">
        <f>E17*K4</f>
        <v>15946.307999999997</v>
      </c>
      <c r="K17" s="25">
        <f>E17*K4</f>
        <v>15946.307999999997</v>
      </c>
      <c r="L17" s="22">
        <f t="shared" si="9"/>
        <v>47838.923999999992</v>
      </c>
      <c r="M17" s="203">
        <v>2.8</v>
      </c>
      <c r="N17" s="28">
        <f>E17*K4</f>
        <v>15946.307999999997</v>
      </c>
      <c r="O17" s="28">
        <f>E17*K4</f>
        <v>15946.307999999997</v>
      </c>
      <c r="P17" s="28">
        <f>E17*K4</f>
        <v>15946.307999999997</v>
      </c>
      <c r="Q17" s="20">
        <f>SUM(N17:P17)</f>
        <v>47838.923999999992</v>
      </c>
      <c r="R17" s="28">
        <f>E17*K4</f>
        <v>15946.307999999997</v>
      </c>
      <c r="S17" s="28">
        <f>E17*K4</f>
        <v>15946.307999999997</v>
      </c>
      <c r="T17" s="28">
        <f>E17*K4</f>
        <v>15946.307999999997</v>
      </c>
      <c r="U17" s="20">
        <f>SUM(R17:T17)</f>
        <v>47838.923999999992</v>
      </c>
      <c r="V17" s="144">
        <f>U17+Q17+L17+H17</f>
        <v>190045.38799999998</v>
      </c>
      <c r="W17" s="14"/>
    </row>
    <row r="18" spans="1:23" s="13" customFormat="1">
      <c r="A18" s="143" t="s">
        <v>25</v>
      </c>
      <c r="B18" s="15" t="s">
        <v>26</v>
      </c>
      <c r="C18" s="203">
        <v>2.99</v>
      </c>
      <c r="D18" s="25">
        <f t="shared" ref="D18:D23" si="10">C18*$K$4</f>
        <v>17028.3789</v>
      </c>
      <c r="E18" s="203">
        <v>3.99</v>
      </c>
      <c r="F18" s="25">
        <f>E18*K4</f>
        <v>22723.4889</v>
      </c>
      <c r="G18" s="25">
        <f>F18</f>
        <v>22723.4889</v>
      </c>
      <c r="H18" s="20">
        <f t="shared" ref="H18:H32" si="11">SUM(D18:G18)</f>
        <v>62479.346699999995</v>
      </c>
      <c r="I18" s="25">
        <f>G18</f>
        <v>22723.4889</v>
      </c>
      <c r="J18" s="25">
        <f>I18</f>
        <v>22723.4889</v>
      </c>
      <c r="K18" s="25">
        <f>J18</f>
        <v>22723.4889</v>
      </c>
      <c r="L18" s="22">
        <f t="shared" si="9"/>
        <v>68170.466700000004</v>
      </c>
      <c r="M18" s="203">
        <v>3.99</v>
      </c>
      <c r="N18" s="28">
        <f>K18</f>
        <v>22723.4889</v>
      </c>
      <c r="O18" s="28">
        <f>N18</f>
        <v>22723.4889</v>
      </c>
      <c r="P18" s="28">
        <f>O18</f>
        <v>22723.4889</v>
      </c>
      <c r="Q18" s="20">
        <f>SUM(N18:P18)</f>
        <v>68170.466700000004</v>
      </c>
      <c r="R18" s="28">
        <f>P18</f>
        <v>22723.4889</v>
      </c>
      <c r="S18" s="28">
        <f>R18</f>
        <v>22723.4889</v>
      </c>
      <c r="T18" s="28">
        <f>S18</f>
        <v>22723.4889</v>
      </c>
      <c r="U18" s="20">
        <f>SUM(R18:T18)</f>
        <v>68170.466700000004</v>
      </c>
      <c r="V18" s="144">
        <f t="shared" si="8"/>
        <v>266990.74680000002</v>
      </c>
      <c r="W18" s="14"/>
    </row>
    <row r="19" spans="1:23" s="13" customFormat="1" ht="15.75" thickBot="1">
      <c r="A19" s="146" t="s">
        <v>27</v>
      </c>
      <c r="B19" s="33" t="s">
        <v>30</v>
      </c>
      <c r="C19" s="204">
        <v>1.86</v>
      </c>
      <c r="D19" s="34">
        <f t="shared" ref="D19" si="12">C19*$K$4</f>
        <v>10592.9046</v>
      </c>
      <c r="E19" s="204">
        <v>2.2000000000000002</v>
      </c>
      <c r="F19" s="34">
        <f>E19*K4</f>
        <v>12529.242</v>
      </c>
      <c r="G19" s="34">
        <f>E19*K4</f>
        <v>12529.242</v>
      </c>
      <c r="H19" s="66">
        <f t="shared" si="11"/>
        <v>35653.588600000003</v>
      </c>
      <c r="I19" s="34">
        <f>E19*K4</f>
        <v>12529.242</v>
      </c>
      <c r="J19" s="34">
        <f>E19*K4</f>
        <v>12529.242</v>
      </c>
      <c r="K19" s="359">
        <v>0</v>
      </c>
      <c r="L19" s="84">
        <f t="shared" si="9"/>
        <v>25058.484</v>
      </c>
      <c r="M19" s="204">
        <v>2.2000000000000002</v>
      </c>
      <c r="N19" s="58">
        <f>E19*K4</f>
        <v>12529.242</v>
      </c>
      <c r="O19" s="58">
        <f>E19*K4</f>
        <v>12529.242</v>
      </c>
      <c r="P19" s="58">
        <f>E19*K4</f>
        <v>12529.242</v>
      </c>
      <c r="Q19" s="66">
        <f t="shared" ref="Q19:Q32" si="13">SUM(N19:P19)</f>
        <v>37587.726000000002</v>
      </c>
      <c r="R19" s="58">
        <f>E19*K4</f>
        <v>12529.242</v>
      </c>
      <c r="S19" s="58">
        <f>E19*K4</f>
        <v>12529.242</v>
      </c>
      <c r="T19" s="58">
        <f>E19*K4</f>
        <v>12529.242</v>
      </c>
      <c r="U19" s="66">
        <f t="shared" ref="U19:U32" si="14">SUM(R19:T19)</f>
        <v>37587.726000000002</v>
      </c>
      <c r="V19" s="147">
        <f t="shared" si="8"/>
        <v>135887.5246</v>
      </c>
      <c r="W19" s="14"/>
    </row>
    <row r="20" spans="1:23" s="13" customFormat="1" ht="16.5" customHeight="1" thickBot="1">
      <c r="A20" s="130" t="s">
        <v>28</v>
      </c>
      <c r="B20" s="131" t="s">
        <v>40</v>
      </c>
      <c r="C20" s="208"/>
      <c r="D20" s="38">
        <v>33354</v>
      </c>
      <c r="E20" s="208"/>
      <c r="F20" s="38">
        <v>6130</v>
      </c>
      <c r="G20" s="38">
        <v>615</v>
      </c>
      <c r="H20" s="119">
        <f t="shared" si="11"/>
        <v>40099</v>
      </c>
      <c r="I20" s="40">
        <v>44099</v>
      </c>
      <c r="J20" s="38">
        <v>95203</v>
      </c>
      <c r="K20" s="38">
        <v>3328</v>
      </c>
      <c r="L20" s="68">
        <f t="shared" si="9"/>
        <v>142630</v>
      </c>
      <c r="M20" s="208"/>
      <c r="N20" s="40">
        <v>146618</v>
      </c>
      <c r="O20" s="40">
        <v>26463</v>
      </c>
      <c r="P20" s="40">
        <v>34790</v>
      </c>
      <c r="Q20" s="119">
        <f t="shared" si="13"/>
        <v>207871</v>
      </c>
      <c r="R20" s="40">
        <v>1783</v>
      </c>
      <c r="S20" s="40">
        <v>1343</v>
      </c>
      <c r="T20" s="40">
        <v>9085</v>
      </c>
      <c r="U20" s="119">
        <f t="shared" si="14"/>
        <v>12211</v>
      </c>
      <c r="V20" s="125">
        <f t="shared" si="8"/>
        <v>402811</v>
      </c>
      <c r="W20" s="14"/>
    </row>
    <row r="21" spans="1:23" s="13" customFormat="1">
      <c r="A21" s="148" t="s">
        <v>33</v>
      </c>
      <c r="B21" s="45" t="s">
        <v>39</v>
      </c>
      <c r="C21" s="209">
        <v>0.82</v>
      </c>
      <c r="D21" s="46">
        <f t="shared" si="10"/>
        <v>4669.9901999999993</v>
      </c>
      <c r="E21" s="209">
        <v>1</v>
      </c>
      <c r="F21" s="46">
        <f>E21*K4</f>
        <v>5695.11</v>
      </c>
      <c r="G21" s="46">
        <f>F21</f>
        <v>5695.11</v>
      </c>
      <c r="H21" s="98">
        <f t="shared" si="11"/>
        <v>16061.210199999998</v>
      </c>
      <c r="I21" s="46">
        <f>G21</f>
        <v>5695.11</v>
      </c>
      <c r="J21" s="75">
        <f t="shared" ref="J21:K24" si="15">I21</f>
        <v>5695.11</v>
      </c>
      <c r="K21" s="46">
        <f t="shared" si="15"/>
        <v>5695.11</v>
      </c>
      <c r="L21" s="85">
        <f t="shared" si="9"/>
        <v>17085.329999999998</v>
      </c>
      <c r="M21" s="209">
        <v>1</v>
      </c>
      <c r="N21" s="76">
        <f>K21</f>
        <v>5695.11</v>
      </c>
      <c r="O21" s="76">
        <f t="shared" ref="O21:P23" si="16">N21</f>
        <v>5695.11</v>
      </c>
      <c r="P21" s="76">
        <f t="shared" si="16"/>
        <v>5695.11</v>
      </c>
      <c r="Q21" s="124">
        <f t="shared" si="13"/>
        <v>17085.329999999998</v>
      </c>
      <c r="R21" s="76">
        <f>P21</f>
        <v>5695.11</v>
      </c>
      <c r="S21" s="76">
        <f t="shared" ref="S21:T23" si="17">R21</f>
        <v>5695.11</v>
      </c>
      <c r="T21" s="76">
        <f t="shared" si="17"/>
        <v>5695.11</v>
      </c>
      <c r="U21" s="124">
        <f t="shared" si="14"/>
        <v>17085.329999999998</v>
      </c>
      <c r="V21" s="149">
        <f t="shared" si="8"/>
        <v>67317.200199999992</v>
      </c>
      <c r="W21" s="14"/>
    </row>
    <row r="22" spans="1:23" s="13" customFormat="1">
      <c r="A22" s="143" t="s">
        <v>34</v>
      </c>
      <c r="B22" s="15" t="s">
        <v>41</v>
      </c>
      <c r="C22" s="204">
        <v>0.12</v>
      </c>
      <c r="D22" s="25">
        <f t="shared" si="10"/>
        <v>683.41319999999996</v>
      </c>
      <c r="E22" s="204">
        <v>0.2</v>
      </c>
      <c r="F22" s="25">
        <f>E22*K4</f>
        <v>1139.0219999999999</v>
      </c>
      <c r="G22" s="25">
        <f>F22</f>
        <v>1139.0219999999999</v>
      </c>
      <c r="H22" s="20">
        <f t="shared" si="11"/>
        <v>2961.6571999999996</v>
      </c>
      <c r="I22" s="25">
        <f>G22</f>
        <v>1139.0219999999999</v>
      </c>
      <c r="J22" s="34">
        <f t="shared" si="15"/>
        <v>1139.0219999999999</v>
      </c>
      <c r="K22" s="25">
        <f t="shared" si="15"/>
        <v>1139.0219999999999</v>
      </c>
      <c r="L22" s="22">
        <f t="shared" si="9"/>
        <v>3417.0659999999998</v>
      </c>
      <c r="M22" s="204">
        <v>0.2</v>
      </c>
      <c r="N22" s="28">
        <f>K22</f>
        <v>1139.0219999999999</v>
      </c>
      <c r="O22" s="28">
        <f t="shared" si="16"/>
        <v>1139.0219999999999</v>
      </c>
      <c r="P22" s="28">
        <f t="shared" si="16"/>
        <v>1139.0219999999999</v>
      </c>
      <c r="Q22" s="66">
        <f t="shared" si="13"/>
        <v>3417.0659999999998</v>
      </c>
      <c r="R22" s="28">
        <f>P22</f>
        <v>1139.0219999999999</v>
      </c>
      <c r="S22" s="28">
        <f t="shared" si="17"/>
        <v>1139.0219999999999</v>
      </c>
      <c r="T22" s="28">
        <f t="shared" si="17"/>
        <v>1139.0219999999999</v>
      </c>
      <c r="U22" s="66">
        <f t="shared" si="14"/>
        <v>3417.0659999999998</v>
      </c>
      <c r="V22" s="144">
        <f t="shared" si="8"/>
        <v>13212.855199999998</v>
      </c>
      <c r="W22" s="14"/>
    </row>
    <row r="23" spans="1:23" s="13" customFormat="1">
      <c r="A23" s="143" t="s">
        <v>35</v>
      </c>
      <c r="B23" s="15" t="s">
        <v>29</v>
      </c>
      <c r="C23" s="203">
        <v>0.56999999999999995</v>
      </c>
      <c r="D23" s="25">
        <f t="shared" si="10"/>
        <v>3246.2126999999996</v>
      </c>
      <c r="E23" s="203">
        <v>0.42</v>
      </c>
      <c r="F23" s="25">
        <f>E23*K4</f>
        <v>2391.9461999999999</v>
      </c>
      <c r="G23" s="25">
        <f>E23*K4</f>
        <v>2391.9461999999999</v>
      </c>
      <c r="H23" s="20">
        <f t="shared" si="11"/>
        <v>8030.5250999999989</v>
      </c>
      <c r="I23" s="25">
        <f>G23</f>
        <v>2391.9461999999999</v>
      </c>
      <c r="J23" s="25">
        <f t="shared" si="15"/>
        <v>2391.9461999999999</v>
      </c>
      <c r="K23" s="25">
        <f t="shared" si="15"/>
        <v>2391.9461999999999</v>
      </c>
      <c r="L23" s="22">
        <f t="shared" si="9"/>
        <v>7175.8385999999991</v>
      </c>
      <c r="M23" s="203">
        <v>0.42</v>
      </c>
      <c r="N23" s="28">
        <f>K23</f>
        <v>2391.9461999999999</v>
      </c>
      <c r="O23" s="28">
        <f t="shared" si="16"/>
        <v>2391.9461999999999</v>
      </c>
      <c r="P23" s="28">
        <f t="shared" si="16"/>
        <v>2391.9461999999999</v>
      </c>
      <c r="Q23" s="66">
        <f t="shared" si="13"/>
        <v>7175.8385999999991</v>
      </c>
      <c r="R23" s="28">
        <f>P23</f>
        <v>2391.9461999999999</v>
      </c>
      <c r="S23" s="28">
        <f t="shared" si="17"/>
        <v>2391.9461999999999</v>
      </c>
      <c r="T23" s="28">
        <f t="shared" si="17"/>
        <v>2391.9461999999999</v>
      </c>
      <c r="U23" s="66">
        <f t="shared" si="14"/>
        <v>7175.8385999999991</v>
      </c>
      <c r="V23" s="144">
        <f t="shared" si="8"/>
        <v>29558.040899999996</v>
      </c>
      <c r="W23" s="14"/>
    </row>
    <row r="24" spans="1:23" s="13" customFormat="1">
      <c r="A24" s="143" t="s">
        <v>124</v>
      </c>
      <c r="B24" s="15" t="s">
        <v>123</v>
      </c>
      <c r="C24" s="203"/>
      <c r="D24" s="25"/>
      <c r="E24" s="203">
        <v>1.5</v>
      </c>
      <c r="F24" s="25">
        <f>E24*K4</f>
        <v>8542.6649999999991</v>
      </c>
      <c r="G24" s="25">
        <f>F24</f>
        <v>8542.6649999999991</v>
      </c>
      <c r="H24" s="20">
        <f>G24+F24+D24</f>
        <v>17085.329999999998</v>
      </c>
      <c r="I24" s="25">
        <f>G24</f>
        <v>8542.6649999999991</v>
      </c>
      <c r="J24" s="25">
        <f t="shared" si="15"/>
        <v>8542.6649999999991</v>
      </c>
      <c r="K24" s="25">
        <f t="shared" si="15"/>
        <v>8542.6649999999991</v>
      </c>
      <c r="L24" s="22">
        <f>K24+J24+I24</f>
        <v>25627.994999999995</v>
      </c>
      <c r="M24" s="203">
        <v>1.5</v>
      </c>
      <c r="N24" s="28">
        <f>K24</f>
        <v>8542.6649999999991</v>
      </c>
      <c r="O24" s="28">
        <f>N24</f>
        <v>8542.6649999999991</v>
      </c>
      <c r="P24" s="28">
        <f>O24</f>
        <v>8542.6649999999991</v>
      </c>
      <c r="Q24" s="66">
        <f>P24+O24+N24</f>
        <v>25627.994999999995</v>
      </c>
      <c r="R24" s="28">
        <f>P24</f>
        <v>8542.6649999999991</v>
      </c>
      <c r="S24" s="28">
        <f>R24</f>
        <v>8542.6649999999991</v>
      </c>
      <c r="T24" s="28">
        <f>S24</f>
        <v>8542.6649999999991</v>
      </c>
      <c r="U24" s="66">
        <f>T24+S24+R24</f>
        <v>25627.994999999995</v>
      </c>
      <c r="V24" s="144">
        <f t="shared" si="8"/>
        <v>93969.314999999988</v>
      </c>
      <c r="W24" s="14"/>
    </row>
    <row r="25" spans="1:23" s="13" customFormat="1">
      <c r="A25" s="143" t="s">
        <v>125</v>
      </c>
      <c r="B25" s="15" t="s">
        <v>84</v>
      </c>
      <c r="C25" s="203"/>
      <c r="D25" s="25">
        <f>SUM(D27:D32)</f>
        <v>0</v>
      </c>
      <c r="E25" s="203"/>
      <c r="F25" s="25">
        <f>SUM(F27:F32)</f>
        <v>0</v>
      </c>
      <c r="G25" s="29">
        <f>SUM(G27:G32)</f>
        <v>959.92</v>
      </c>
      <c r="H25" s="20">
        <f t="shared" si="11"/>
        <v>959.92</v>
      </c>
      <c r="I25" s="25">
        <f>SUM(I27:I32)</f>
        <v>0</v>
      </c>
      <c r="J25" s="25">
        <f>SUM(J27:J32)</f>
        <v>0</v>
      </c>
      <c r="K25" s="29">
        <f>SUM(K27:K32)</f>
        <v>219.71</v>
      </c>
      <c r="L25" s="22">
        <f t="shared" si="9"/>
        <v>219.71</v>
      </c>
      <c r="M25" s="203"/>
      <c r="N25" s="28">
        <f>SUM(N27:N32)</f>
        <v>0</v>
      </c>
      <c r="O25" s="28">
        <f>SUM(O27:O32)</f>
        <v>0</v>
      </c>
      <c r="P25" s="28">
        <f>SUM(P27:P32)</f>
        <v>0</v>
      </c>
      <c r="Q25" s="66">
        <f t="shared" si="13"/>
        <v>0</v>
      </c>
      <c r="R25" s="28">
        <f>SUM(R27:R32)</f>
        <v>0</v>
      </c>
      <c r="S25" s="28">
        <f>SUM(S27:S32)</f>
        <v>0</v>
      </c>
      <c r="T25" s="28">
        <f>SUM(T27:T32)</f>
        <v>0</v>
      </c>
      <c r="U25" s="66">
        <f t="shared" si="14"/>
        <v>0</v>
      </c>
      <c r="V25" s="144">
        <f t="shared" si="8"/>
        <v>1179.6299999999999</v>
      </c>
      <c r="W25" s="14"/>
    </row>
    <row r="26" spans="1:23" s="13" customFormat="1">
      <c r="A26" s="143"/>
      <c r="B26" s="15" t="s">
        <v>44</v>
      </c>
      <c r="C26" s="207"/>
      <c r="D26" s="25"/>
      <c r="E26" s="207"/>
      <c r="F26" s="25"/>
      <c r="G26" s="25"/>
      <c r="H26" s="20">
        <f t="shared" si="11"/>
        <v>0</v>
      </c>
      <c r="I26" s="28"/>
      <c r="J26" s="25"/>
      <c r="K26" s="25"/>
      <c r="L26" s="22">
        <f t="shared" si="9"/>
        <v>0</v>
      </c>
      <c r="M26" s="207"/>
      <c r="N26" s="28"/>
      <c r="O26" s="28"/>
      <c r="P26" s="28"/>
      <c r="Q26" s="66">
        <f t="shared" si="13"/>
        <v>0</v>
      </c>
      <c r="R26" s="28"/>
      <c r="S26" s="28"/>
      <c r="T26" s="28"/>
      <c r="U26" s="66">
        <f t="shared" si="14"/>
        <v>0</v>
      </c>
      <c r="V26" s="144">
        <f t="shared" si="8"/>
        <v>0</v>
      </c>
      <c r="W26" s="14"/>
    </row>
    <row r="27" spans="1:23" s="13" customFormat="1">
      <c r="A27" s="143"/>
      <c r="B27" s="15" t="s">
        <v>47</v>
      </c>
      <c r="C27" s="207"/>
      <c r="D27" s="25"/>
      <c r="E27" s="207"/>
      <c r="F27" s="25"/>
      <c r="G27" s="25"/>
      <c r="H27" s="20">
        <f t="shared" si="11"/>
        <v>0</v>
      </c>
      <c r="I27" s="28"/>
      <c r="J27" s="25"/>
      <c r="K27" s="25"/>
      <c r="L27" s="22">
        <f t="shared" si="9"/>
        <v>0</v>
      </c>
      <c r="M27" s="207"/>
      <c r="N27" s="30"/>
      <c r="O27" s="28"/>
      <c r="P27" s="28"/>
      <c r="Q27" s="66">
        <f t="shared" si="13"/>
        <v>0</v>
      </c>
      <c r="R27" s="28"/>
      <c r="S27" s="28"/>
      <c r="T27" s="28"/>
      <c r="U27" s="66">
        <f t="shared" si="14"/>
        <v>0</v>
      </c>
      <c r="V27" s="144">
        <f t="shared" si="8"/>
        <v>0</v>
      </c>
      <c r="W27" s="14"/>
    </row>
    <row r="28" spans="1:23" s="13" customFormat="1">
      <c r="A28" s="143"/>
      <c r="B28" s="15" t="s">
        <v>50</v>
      </c>
      <c r="C28" s="207"/>
      <c r="D28" s="25"/>
      <c r="E28" s="207"/>
      <c r="F28" s="25"/>
      <c r="G28" s="25"/>
      <c r="H28" s="20">
        <f t="shared" si="11"/>
        <v>0</v>
      </c>
      <c r="I28" s="28"/>
      <c r="J28" s="25"/>
      <c r="K28" s="25"/>
      <c r="L28" s="22">
        <f t="shared" si="9"/>
        <v>0</v>
      </c>
      <c r="M28" s="207"/>
      <c r="N28" s="28"/>
      <c r="O28" s="28"/>
      <c r="P28" s="28"/>
      <c r="Q28" s="66">
        <f t="shared" si="13"/>
        <v>0</v>
      </c>
      <c r="R28" s="28"/>
      <c r="S28" s="28"/>
      <c r="T28" s="28"/>
      <c r="U28" s="66">
        <f t="shared" si="14"/>
        <v>0</v>
      </c>
      <c r="V28" s="144">
        <f t="shared" si="8"/>
        <v>0</v>
      </c>
      <c r="W28" s="14"/>
    </row>
    <row r="29" spans="1:23" s="13" customFormat="1">
      <c r="A29" s="143"/>
      <c r="B29" s="15" t="s">
        <v>59</v>
      </c>
      <c r="C29" s="207"/>
      <c r="D29" s="25"/>
      <c r="E29" s="207"/>
      <c r="F29" s="25"/>
      <c r="G29" s="25"/>
      <c r="H29" s="20">
        <f t="shared" si="11"/>
        <v>0</v>
      </c>
      <c r="I29" s="28"/>
      <c r="J29" s="25"/>
      <c r="K29" s="25"/>
      <c r="L29" s="22">
        <f t="shared" si="9"/>
        <v>0</v>
      </c>
      <c r="M29" s="207"/>
      <c r="N29" s="28"/>
      <c r="O29" s="28"/>
      <c r="P29" s="28"/>
      <c r="Q29" s="66">
        <f t="shared" si="13"/>
        <v>0</v>
      </c>
      <c r="R29" s="28"/>
      <c r="S29" s="28"/>
      <c r="T29" s="28"/>
      <c r="U29" s="66">
        <f t="shared" si="14"/>
        <v>0</v>
      </c>
      <c r="V29" s="144">
        <f t="shared" si="8"/>
        <v>0</v>
      </c>
      <c r="W29" s="14"/>
    </row>
    <row r="30" spans="1:23" s="13" customFormat="1">
      <c r="A30" s="143"/>
      <c r="B30" s="15" t="s">
        <v>60</v>
      </c>
      <c r="C30" s="207"/>
      <c r="D30" s="25"/>
      <c r="E30" s="207"/>
      <c r="F30" s="25"/>
      <c r="G30" s="25"/>
      <c r="H30" s="20">
        <f t="shared" si="11"/>
        <v>0</v>
      </c>
      <c r="I30" s="28"/>
      <c r="J30" s="25"/>
      <c r="K30" s="25"/>
      <c r="L30" s="22">
        <f t="shared" si="9"/>
        <v>0</v>
      </c>
      <c r="M30" s="207"/>
      <c r="N30" s="28"/>
      <c r="O30" s="28"/>
      <c r="P30" s="28"/>
      <c r="Q30" s="66">
        <f t="shared" si="13"/>
        <v>0</v>
      </c>
      <c r="R30" s="28"/>
      <c r="S30" s="28"/>
      <c r="T30" s="28"/>
      <c r="U30" s="66">
        <f t="shared" si="14"/>
        <v>0</v>
      </c>
      <c r="V30" s="144">
        <f t="shared" si="8"/>
        <v>0</v>
      </c>
      <c r="W30" s="14"/>
    </row>
    <row r="31" spans="1:23" s="13" customFormat="1">
      <c r="A31" s="143"/>
      <c r="B31" s="15" t="s">
        <v>83</v>
      </c>
      <c r="C31" s="207"/>
      <c r="D31" s="25"/>
      <c r="E31" s="207"/>
      <c r="F31" s="25"/>
      <c r="G31" s="29">
        <v>959.92</v>
      </c>
      <c r="H31" s="20">
        <f t="shared" si="11"/>
        <v>959.92</v>
      </c>
      <c r="I31" s="28"/>
      <c r="J31" s="25"/>
      <c r="K31" s="29">
        <v>219.71</v>
      </c>
      <c r="L31" s="22">
        <f t="shared" si="9"/>
        <v>219.71</v>
      </c>
      <c r="M31" s="207"/>
      <c r="N31" s="28"/>
      <c r="O31" s="28"/>
      <c r="P31" s="28"/>
      <c r="Q31" s="66">
        <f t="shared" si="13"/>
        <v>0</v>
      </c>
      <c r="R31" s="28"/>
      <c r="S31" s="30"/>
      <c r="T31" s="28"/>
      <c r="U31" s="66">
        <f t="shared" si="14"/>
        <v>0</v>
      </c>
      <c r="V31" s="144">
        <f t="shared" si="8"/>
        <v>1179.6299999999999</v>
      </c>
      <c r="W31" s="14"/>
    </row>
    <row r="32" spans="1:23" s="13" customFormat="1">
      <c r="A32" s="143"/>
      <c r="B32" s="15" t="s">
        <v>53</v>
      </c>
      <c r="C32" s="207"/>
      <c r="D32" s="25"/>
      <c r="E32" s="207"/>
      <c r="F32" s="25"/>
      <c r="G32" s="25"/>
      <c r="H32" s="20">
        <f t="shared" si="11"/>
        <v>0</v>
      </c>
      <c r="I32" s="28"/>
      <c r="J32" s="25"/>
      <c r="K32" s="25"/>
      <c r="L32" s="22">
        <f t="shared" si="9"/>
        <v>0</v>
      </c>
      <c r="M32" s="207"/>
      <c r="N32" s="28"/>
      <c r="O32" s="28"/>
      <c r="P32" s="28"/>
      <c r="Q32" s="66">
        <f t="shared" si="13"/>
        <v>0</v>
      </c>
      <c r="R32" s="28"/>
      <c r="S32" s="28"/>
      <c r="T32" s="30"/>
      <c r="U32" s="66">
        <f t="shared" si="14"/>
        <v>0</v>
      </c>
      <c r="V32" s="144">
        <f t="shared" si="8"/>
        <v>0</v>
      </c>
      <c r="W32" s="14"/>
    </row>
    <row r="33" spans="1:23" s="13" customFormat="1" ht="15.75" thickBot="1">
      <c r="A33" s="150"/>
      <c r="B33" s="151" t="s">
        <v>43</v>
      </c>
      <c r="C33" s="210"/>
      <c r="D33" s="153"/>
      <c r="E33" s="210"/>
      <c r="F33" s="154"/>
      <c r="G33" s="154"/>
      <c r="H33" s="155">
        <f>H11-H16</f>
        <v>42030.256199999974</v>
      </c>
      <c r="I33" s="156"/>
      <c r="J33" s="154"/>
      <c r="K33" s="154"/>
      <c r="L33" s="155">
        <f>L11-L16</f>
        <v>-60345.954299999925</v>
      </c>
      <c r="M33" s="210"/>
      <c r="N33" s="157"/>
      <c r="O33" s="157"/>
      <c r="P33" s="156"/>
      <c r="Q33" s="155">
        <f>Q11-Q16</f>
        <v>-149613.50630000001</v>
      </c>
      <c r="R33" s="156"/>
      <c r="S33" s="156"/>
      <c r="T33" s="156"/>
      <c r="U33" s="155">
        <f>U11-U16</f>
        <v>43352.943700000003</v>
      </c>
      <c r="V33" s="158">
        <f t="shared" si="8"/>
        <v>-124576.26069999996</v>
      </c>
      <c r="W33" s="133"/>
    </row>
    <row r="34" spans="1:23" s="13" customFormat="1">
      <c r="A34" s="51"/>
      <c r="B34" s="52"/>
      <c r="C34" s="51"/>
      <c r="D34" s="50"/>
      <c r="E34" s="50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>
      <c r="A35" s="7"/>
      <c r="B35" s="7"/>
      <c r="C35" s="7"/>
      <c r="D35" s="5"/>
      <c r="E35" s="5"/>
      <c r="F35" s="6"/>
      <c r="G35" s="5"/>
      <c r="H35" s="5"/>
      <c r="I35" s="5"/>
      <c r="J35" s="5"/>
      <c r="K35" s="5"/>
      <c r="L35" s="5"/>
      <c r="M35" s="5"/>
    </row>
  </sheetData>
  <mergeCells count="4">
    <mergeCell ref="A1:L1"/>
    <mergeCell ref="A2:L2"/>
    <mergeCell ref="A3:L3"/>
    <mergeCell ref="S3:W3"/>
  </mergeCells>
  <pageMargins left="0.25" right="0.25" top="0.75" bottom="0.75" header="0.3" footer="0.3"/>
  <pageSetup paperSize="9" scale="6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3"/>
  <sheetViews>
    <sheetView zoomScaleNormal="100" workbookViewId="0">
      <selection activeCell="U35" sqref="U35"/>
    </sheetView>
  </sheetViews>
  <sheetFormatPr defaultRowHeight="15"/>
  <cols>
    <col min="1" max="1" width="4.85546875" customWidth="1"/>
    <col min="2" max="2" width="32.140625" customWidth="1"/>
    <col min="3" max="3" width="7.42578125" customWidth="1"/>
    <col min="4" max="5" width="9.5703125" customWidth="1"/>
    <col min="6" max="6" width="8.85546875" customWidth="1"/>
    <col min="7" max="7" width="9.7109375" customWidth="1"/>
    <col min="8" max="8" width="10.5703125" customWidth="1"/>
    <col min="9" max="9" width="9.7109375" customWidth="1"/>
    <col min="10" max="10" width="9.85546875" customWidth="1"/>
    <col min="11" max="11" width="10.28515625" customWidth="1"/>
    <col min="12" max="12" width="10.42578125" customWidth="1"/>
    <col min="13" max="13" width="10.140625" customWidth="1"/>
    <col min="14" max="14" width="8.28515625" customWidth="1"/>
    <col min="15" max="15" width="8.7109375" customWidth="1"/>
    <col min="16" max="16" width="11.85546875" customWidth="1"/>
    <col min="17" max="17" width="9.7109375" customWidth="1"/>
    <col min="18" max="18" width="10" customWidth="1"/>
    <col min="19" max="19" width="11.7109375" customWidth="1"/>
    <col min="20" max="20" width="10" customWidth="1"/>
    <col min="21" max="25" width="9.140625" customWidth="1"/>
  </cols>
  <sheetData>
    <row r="1" spans="1:22" s="13" customForma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R1" s="13" t="s">
        <v>94</v>
      </c>
    </row>
    <row r="2" spans="1:22" s="13" customFormat="1">
      <c r="A2" s="368" t="s">
        <v>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R2" s="13" t="s">
        <v>95</v>
      </c>
    </row>
    <row r="3" spans="1:22" s="13" customFormat="1">
      <c r="A3" s="374" t="s">
        <v>115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R3" s="373" t="s">
        <v>138</v>
      </c>
      <c r="S3" s="373"/>
      <c r="T3" s="373"/>
      <c r="U3" s="373"/>
      <c r="V3" s="373"/>
    </row>
    <row r="4" spans="1:22" s="13" customFormat="1" ht="15.75" thickBot="1">
      <c r="B4" s="13" t="s">
        <v>82</v>
      </c>
      <c r="K4" s="13">
        <f>5623.8+64.8-0.7</f>
        <v>5687.9000000000005</v>
      </c>
    </row>
    <row r="5" spans="1:22" s="13" customFormat="1">
      <c r="A5" s="134"/>
      <c r="B5" s="135" t="s">
        <v>2</v>
      </c>
      <c r="C5" s="139" t="s">
        <v>93</v>
      </c>
      <c r="D5" s="135" t="s">
        <v>4</v>
      </c>
      <c r="E5" s="318" t="s">
        <v>93</v>
      </c>
      <c r="F5" s="135" t="s">
        <v>5</v>
      </c>
      <c r="G5" s="135" t="s">
        <v>6</v>
      </c>
      <c r="H5" s="137" t="s">
        <v>7</v>
      </c>
      <c r="I5" s="138" t="s">
        <v>8</v>
      </c>
      <c r="J5" s="138" t="s">
        <v>9</v>
      </c>
      <c r="K5" s="138" t="s">
        <v>10</v>
      </c>
      <c r="L5" s="139" t="s">
        <v>11</v>
      </c>
      <c r="M5" s="138" t="s">
        <v>54</v>
      </c>
      <c r="N5" s="138" t="s">
        <v>55</v>
      </c>
      <c r="O5" s="138" t="s">
        <v>56</v>
      </c>
      <c r="P5" s="139" t="s">
        <v>57</v>
      </c>
      <c r="Q5" s="138" t="s">
        <v>63</v>
      </c>
      <c r="R5" s="138" t="s">
        <v>64</v>
      </c>
      <c r="S5" s="138" t="s">
        <v>65</v>
      </c>
      <c r="T5" s="139" t="s">
        <v>66</v>
      </c>
      <c r="U5" s="140" t="s">
        <v>71</v>
      </c>
    </row>
    <row r="6" spans="1:22" s="13" customFormat="1" ht="27" customHeight="1">
      <c r="A6" s="141" t="s">
        <v>12</v>
      </c>
      <c r="B6" s="19" t="s">
        <v>13</v>
      </c>
      <c r="C6" s="55"/>
      <c r="D6" s="20">
        <f>SUM(D7:D10)</f>
        <v>92257.738000000027</v>
      </c>
      <c r="E6" s="309"/>
      <c r="F6" s="20">
        <f>SUM(F7:F10)</f>
        <v>92257.738000000012</v>
      </c>
      <c r="G6" s="20">
        <f>SUM(G7:G10)</f>
        <v>92257.738000000012</v>
      </c>
      <c r="H6" s="20">
        <f>SUM(H7:H10)</f>
        <v>276789.43400000001</v>
      </c>
      <c r="I6" s="20">
        <f>SUM(I7:I10)</f>
        <v>92257.738000000012</v>
      </c>
      <c r="J6" s="20">
        <f t="shared" ref="J6:T6" si="0">SUM(J7:J10)</f>
        <v>92257.738000000012</v>
      </c>
      <c r="K6" s="20">
        <f t="shared" si="0"/>
        <v>92257.738000000012</v>
      </c>
      <c r="L6" s="20">
        <f t="shared" si="0"/>
        <v>276773.21400000004</v>
      </c>
      <c r="M6" s="20">
        <f t="shared" si="0"/>
        <v>92257.738000000012</v>
      </c>
      <c r="N6" s="20">
        <f t="shared" si="0"/>
        <v>92257.738000000012</v>
      </c>
      <c r="O6" s="20">
        <f t="shared" si="0"/>
        <v>92257.738000000012</v>
      </c>
      <c r="P6" s="20">
        <f t="shared" si="0"/>
        <v>276773.21400000004</v>
      </c>
      <c r="Q6" s="20">
        <f t="shared" si="0"/>
        <v>92257.738000000012</v>
      </c>
      <c r="R6" s="20">
        <f t="shared" si="0"/>
        <v>92257.738000000012</v>
      </c>
      <c r="S6" s="20">
        <f t="shared" si="0"/>
        <v>92257.738000000012</v>
      </c>
      <c r="T6" s="20">
        <f t="shared" si="0"/>
        <v>276773.21400000004</v>
      </c>
      <c r="U6" s="142">
        <f t="shared" ref="U6:U12" si="1">H6+L6+P6+T6</f>
        <v>1107109.0760000001</v>
      </c>
    </row>
    <row r="7" spans="1:22" s="13" customFormat="1">
      <c r="A7" s="143" t="s">
        <v>14</v>
      </c>
      <c r="B7" s="15" t="s">
        <v>15</v>
      </c>
      <c r="C7" s="27">
        <v>11.22</v>
      </c>
      <c r="D7" s="25">
        <f>C7*$K$4</f>
        <v>63818.238000000012</v>
      </c>
      <c r="E7" s="281">
        <v>10.8</v>
      </c>
      <c r="F7" s="25">
        <f>E7*K4</f>
        <v>61429.320000000007</v>
      </c>
      <c r="G7" s="25">
        <f>F7</f>
        <v>61429.320000000007</v>
      </c>
      <c r="H7" s="20">
        <f>SUM(D7:G7)</f>
        <v>186687.67800000001</v>
      </c>
      <c r="I7" s="25">
        <f>G7</f>
        <v>61429.320000000007</v>
      </c>
      <c r="J7" s="28">
        <f>I7</f>
        <v>61429.320000000007</v>
      </c>
      <c r="K7" s="28">
        <f>J7</f>
        <v>61429.320000000007</v>
      </c>
      <c r="L7" s="22">
        <f>I7+J7+K7</f>
        <v>184287.96000000002</v>
      </c>
      <c r="M7" s="28">
        <f>K7</f>
        <v>61429.320000000007</v>
      </c>
      <c r="N7" s="28">
        <f>M7</f>
        <v>61429.320000000007</v>
      </c>
      <c r="O7" s="28">
        <f>N7</f>
        <v>61429.320000000007</v>
      </c>
      <c r="P7" s="22">
        <f>SUM(M7:O7)</f>
        <v>184287.96000000002</v>
      </c>
      <c r="Q7" s="28">
        <f>O7</f>
        <v>61429.320000000007</v>
      </c>
      <c r="R7" s="28">
        <f>Q7</f>
        <v>61429.320000000007</v>
      </c>
      <c r="S7" s="28">
        <f>R7</f>
        <v>61429.320000000007</v>
      </c>
      <c r="T7" s="22">
        <f>SUM(Q7:S7)</f>
        <v>184287.96000000002</v>
      </c>
      <c r="U7" s="144">
        <f t="shared" si="1"/>
        <v>739551.55799999996</v>
      </c>
    </row>
    <row r="8" spans="1:22" s="13" customFormat="1">
      <c r="A8" s="143" t="s">
        <v>16</v>
      </c>
      <c r="B8" s="15" t="s">
        <v>17</v>
      </c>
      <c r="C8" s="27">
        <v>2.57</v>
      </c>
      <c r="D8" s="25">
        <f t="shared" ref="D8:D10" si="2">C8*$K$4</f>
        <v>14617.903</v>
      </c>
      <c r="E8" s="281">
        <v>2.8</v>
      </c>
      <c r="F8" s="25">
        <f>E8*K4</f>
        <v>15926.12</v>
      </c>
      <c r="G8" s="25">
        <f>E8*K4</f>
        <v>15926.12</v>
      </c>
      <c r="H8" s="20">
        <f t="shared" ref="H8:H10" si="3">SUM(D8:G8)</f>
        <v>46472.942999999999</v>
      </c>
      <c r="I8" s="25">
        <f>E8*K4</f>
        <v>15926.12</v>
      </c>
      <c r="J8" s="28">
        <f>I8</f>
        <v>15926.12</v>
      </c>
      <c r="K8" s="28">
        <f>E8*K4</f>
        <v>15926.12</v>
      </c>
      <c r="L8" s="22">
        <f>I8+J8+K8</f>
        <v>47778.36</v>
      </c>
      <c r="M8" s="28">
        <f>E8*K4</f>
        <v>15926.12</v>
      </c>
      <c r="N8" s="28">
        <f>E8*K4</f>
        <v>15926.12</v>
      </c>
      <c r="O8" s="28">
        <f>E8*K4</f>
        <v>15926.12</v>
      </c>
      <c r="P8" s="22">
        <f t="shared" ref="P8:P10" si="4">SUM(M8:O8)</f>
        <v>47778.36</v>
      </c>
      <c r="Q8" s="28">
        <f>E8*K4</f>
        <v>15926.12</v>
      </c>
      <c r="R8" s="28">
        <f>E8*K4</f>
        <v>15926.12</v>
      </c>
      <c r="S8" s="28">
        <f>E8*K4</f>
        <v>15926.12</v>
      </c>
      <c r="T8" s="22">
        <f t="shared" ref="T8:T10" si="5">SUM(Q8:S8)</f>
        <v>47778.36</v>
      </c>
      <c r="U8" s="144">
        <f t="shared" si="1"/>
        <v>189808.02299999999</v>
      </c>
    </row>
    <row r="9" spans="1:22" s="13" customFormat="1">
      <c r="A9" s="143" t="s">
        <v>18</v>
      </c>
      <c r="B9" s="15" t="s">
        <v>30</v>
      </c>
      <c r="C9" s="27">
        <v>1.86</v>
      </c>
      <c r="D9" s="25">
        <f t="shared" ref="D9" si="6">C9*$K$4</f>
        <v>10579.494000000002</v>
      </c>
      <c r="E9" s="281">
        <v>2.2000000000000002</v>
      </c>
      <c r="F9" s="25">
        <f>E9*K4</f>
        <v>12513.380000000003</v>
      </c>
      <c r="G9" s="25">
        <f>E9*K4</f>
        <v>12513.380000000003</v>
      </c>
      <c r="H9" s="20">
        <f t="shared" si="3"/>
        <v>35608.454000000012</v>
      </c>
      <c r="I9" s="25">
        <f>E9*K4</f>
        <v>12513.380000000003</v>
      </c>
      <c r="J9" s="25">
        <f>E9*K4</f>
        <v>12513.380000000003</v>
      </c>
      <c r="K9" s="25">
        <f>E9*K4</f>
        <v>12513.380000000003</v>
      </c>
      <c r="L9" s="22">
        <f>I9+J9+K9</f>
        <v>37540.140000000007</v>
      </c>
      <c r="M9" s="25">
        <f>E9*K4</f>
        <v>12513.380000000003</v>
      </c>
      <c r="N9" s="25">
        <f>M9</f>
        <v>12513.380000000003</v>
      </c>
      <c r="O9" s="25">
        <f>E9*K4</f>
        <v>12513.380000000003</v>
      </c>
      <c r="P9" s="22">
        <f t="shared" si="4"/>
        <v>37540.140000000007</v>
      </c>
      <c r="Q9" s="25">
        <f>E9*K4</f>
        <v>12513.380000000003</v>
      </c>
      <c r="R9" s="25">
        <f>E9*K4</f>
        <v>12513.380000000003</v>
      </c>
      <c r="S9" s="25">
        <f>E9*K4</f>
        <v>12513.380000000003</v>
      </c>
      <c r="T9" s="22">
        <f t="shared" si="5"/>
        <v>37540.140000000007</v>
      </c>
      <c r="U9" s="144">
        <f t="shared" si="1"/>
        <v>148228.87400000004</v>
      </c>
    </row>
    <row r="10" spans="1:22" s="13" customFormat="1">
      <c r="A10" s="143" t="s">
        <v>31</v>
      </c>
      <c r="B10" s="15" t="s">
        <v>19</v>
      </c>
      <c r="C10" s="27">
        <v>0.56999999999999995</v>
      </c>
      <c r="D10" s="25">
        <f t="shared" si="2"/>
        <v>3242.1030000000001</v>
      </c>
      <c r="E10" s="281">
        <v>0.42</v>
      </c>
      <c r="F10" s="25">
        <f>E10*K4</f>
        <v>2388.9180000000001</v>
      </c>
      <c r="G10" s="25">
        <f>F10</f>
        <v>2388.9180000000001</v>
      </c>
      <c r="H10" s="20">
        <f t="shared" si="3"/>
        <v>8020.3590000000004</v>
      </c>
      <c r="I10" s="25">
        <f>G10</f>
        <v>2388.9180000000001</v>
      </c>
      <c r="J10" s="28">
        <f>I10</f>
        <v>2388.9180000000001</v>
      </c>
      <c r="K10" s="28">
        <f>J10</f>
        <v>2388.9180000000001</v>
      </c>
      <c r="L10" s="22">
        <f>I10+J10+K10</f>
        <v>7166.7540000000008</v>
      </c>
      <c r="M10" s="28">
        <f>K10</f>
        <v>2388.9180000000001</v>
      </c>
      <c r="N10" s="28">
        <f>M10</f>
        <v>2388.9180000000001</v>
      </c>
      <c r="O10" s="28">
        <f t="shared" ref="O10" si="7">M10</f>
        <v>2388.9180000000001</v>
      </c>
      <c r="P10" s="22">
        <f t="shared" si="4"/>
        <v>7166.7540000000008</v>
      </c>
      <c r="Q10" s="28">
        <f>O10</f>
        <v>2388.9180000000001</v>
      </c>
      <c r="R10" s="28">
        <f>Q10</f>
        <v>2388.9180000000001</v>
      </c>
      <c r="S10" s="28">
        <f>R10</f>
        <v>2388.9180000000001</v>
      </c>
      <c r="T10" s="22">
        <f t="shared" si="5"/>
        <v>7166.7540000000008</v>
      </c>
      <c r="U10" s="144">
        <f t="shared" si="1"/>
        <v>29520.621000000003</v>
      </c>
    </row>
    <row r="11" spans="1:22" s="13" customFormat="1">
      <c r="A11" s="143" t="s">
        <v>32</v>
      </c>
      <c r="B11" s="15" t="s">
        <v>20</v>
      </c>
      <c r="C11" s="27"/>
      <c r="D11" s="29">
        <v>90962.83</v>
      </c>
      <c r="E11" s="281"/>
      <c r="F11" s="29">
        <v>78362.38</v>
      </c>
      <c r="G11" s="29">
        <v>98526.87</v>
      </c>
      <c r="H11" s="55">
        <f>D11+F11+G11+G12</f>
        <v>271170.08</v>
      </c>
      <c r="I11" s="30">
        <v>91805.34</v>
      </c>
      <c r="J11" s="30">
        <v>82586.13</v>
      </c>
      <c r="K11" s="30">
        <v>94106.54</v>
      </c>
      <c r="L11" s="56">
        <f>I11+J11+K11+K12+K13</f>
        <v>278416.01</v>
      </c>
      <c r="M11" s="30">
        <v>82124.06</v>
      </c>
      <c r="N11" s="30">
        <v>79736.740000000005</v>
      </c>
      <c r="O11" s="30">
        <v>96159.25</v>
      </c>
      <c r="P11" s="56">
        <f>M11+N11+O11+O12+O13</f>
        <v>260122.15</v>
      </c>
      <c r="Q11" s="30">
        <v>109415.53</v>
      </c>
      <c r="R11" s="30">
        <v>83160.86</v>
      </c>
      <c r="S11" s="30">
        <v>95248.86</v>
      </c>
      <c r="T11" s="56">
        <f>SUM(Q11:S11)+S12+S13</f>
        <v>299669.36</v>
      </c>
      <c r="U11" s="145">
        <f t="shared" si="1"/>
        <v>1109377.6000000001</v>
      </c>
    </row>
    <row r="12" spans="1:22" s="13" customFormat="1">
      <c r="A12" s="143"/>
      <c r="B12" s="15" t="s">
        <v>38</v>
      </c>
      <c r="C12" s="27"/>
      <c r="D12" s="25"/>
      <c r="E12" s="281"/>
      <c r="F12" s="25"/>
      <c r="G12" s="29">
        <v>3318</v>
      </c>
      <c r="H12" s="20"/>
      <c r="I12" s="28"/>
      <c r="J12" s="28"/>
      <c r="K12" s="30">
        <v>3318</v>
      </c>
      <c r="L12" s="22"/>
      <c r="M12" s="28"/>
      <c r="N12" s="28"/>
      <c r="O12" s="30">
        <f>2102.1</f>
        <v>2102.1</v>
      </c>
      <c r="P12" s="22"/>
      <c r="Q12" s="28"/>
      <c r="R12" s="28"/>
      <c r="S12" s="30">
        <f>3444.11</f>
        <v>3444.11</v>
      </c>
      <c r="T12" s="22"/>
      <c r="U12" s="144">
        <f t="shared" si="1"/>
        <v>0</v>
      </c>
    </row>
    <row r="13" spans="1:22" s="13" customFormat="1">
      <c r="A13" s="143"/>
      <c r="B13" s="15" t="s">
        <v>72</v>
      </c>
      <c r="C13" s="27"/>
      <c r="D13" s="25"/>
      <c r="E13" s="281"/>
      <c r="F13" s="25"/>
      <c r="G13" s="25"/>
      <c r="H13" s="20"/>
      <c r="I13" s="28"/>
      <c r="J13" s="28"/>
      <c r="K13" s="30">
        <v>6600</v>
      </c>
      <c r="L13" s="22"/>
      <c r="M13" s="28"/>
      <c r="N13" s="28"/>
      <c r="O13" s="28"/>
      <c r="P13" s="22"/>
      <c r="Q13" s="28"/>
      <c r="R13" s="28"/>
      <c r="S13" s="30">
        <f>6600+1800</f>
        <v>8400</v>
      </c>
      <c r="T13" s="22"/>
      <c r="U13" s="144"/>
    </row>
    <row r="14" spans="1:22" s="13" customFormat="1">
      <c r="A14" s="143"/>
      <c r="B14" s="15" t="s">
        <v>21</v>
      </c>
      <c r="C14" s="27"/>
      <c r="D14" s="25">
        <f>D11-D6</f>
        <v>-1294.9080000000249</v>
      </c>
      <c r="E14" s="281"/>
      <c r="F14" s="25">
        <f t="shared" ref="F14:T14" si="8">F11-F6</f>
        <v>-13895.358000000007</v>
      </c>
      <c r="G14" s="25">
        <f t="shared" si="8"/>
        <v>6269.1319999999832</v>
      </c>
      <c r="H14" s="22">
        <f t="shared" si="8"/>
        <v>-5619.3539999999921</v>
      </c>
      <c r="I14" s="28">
        <f t="shared" si="8"/>
        <v>-452.3980000000156</v>
      </c>
      <c r="J14" s="28">
        <f t="shared" si="8"/>
        <v>-9671.6080000000075</v>
      </c>
      <c r="K14" s="28">
        <f t="shared" si="8"/>
        <v>1848.8019999999815</v>
      </c>
      <c r="L14" s="22">
        <f t="shared" si="8"/>
        <v>1642.795999999973</v>
      </c>
      <c r="M14" s="28">
        <f t="shared" si="8"/>
        <v>-10133.678000000014</v>
      </c>
      <c r="N14" s="28">
        <f t="shared" si="8"/>
        <v>-12520.998000000007</v>
      </c>
      <c r="O14" s="28">
        <f t="shared" si="8"/>
        <v>3901.5119999999879</v>
      </c>
      <c r="P14" s="22">
        <f t="shared" si="8"/>
        <v>-16651.064000000042</v>
      </c>
      <c r="Q14" s="28">
        <f t="shared" si="8"/>
        <v>17157.791999999987</v>
      </c>
      <c r="R14" s="28">
        <f t="shared" si="8"/>
        <v>-9096.8780000000115</v>
      </c>
      <c r="S14" s="28">
        <f t="shared" si="8"/>
        <v>2991.1219999999885</v>
      </c>
      <c r="T14" s="22">
        <f t="shared" si="8"/>
        <v>22896.14599999995</v>
      </c>
      <c r="U14" s="144">
        <f t="shared" ref="U14:U31" si="9">H14+L14+P14+T14</f>
        <v>2268.5239999998885</v>
      </c>
    </row>
    <row r="15" spans="1:22" s="13" customFormat="1">
      <c r="A15" s="143"/>
      <c r="B15" s="15"/>
      <c r="C15" s="27"/>
      <c r="D15" s="25"/>
      <c r="E15" s="281"/>
      <c r="F15" s="25"/>
      <c r="G15" s="25"/>
      <c r="H15" s="20"/>
      <c r="I15" s="28"/>
      <c r="J15" s="28"/>
      <c r="K15" s="28"/>
      <c r="L15" s="22"/>
      <c r="M15" s="28"/>
      <c r="N15" s="28"/>
      <c r="O15" s="28"/>
      <c r="P15" s="22"/>
      <c r="Q15" s="28"/>
      <c r="R15" s="28"/>
      <c r="S15" s="28"/>
      <c r="T15" s="22"/>
      <c r="U15" s="144">
        <f t="shared" si="9"/>
        <v>0</v>
      </c>
    </row>
    <row r="16" spans="1:22" s="13" customFormat="1" ht="30.75" customHeight="1">
      <c r="A16" s="141" t="s">
        <v>22</v>
      </c>
      <c r="B16" s="19" t="s">
        <v>23</v>
      </c>
      <c r="C16" s="27"/>
      <c r="D16" s="22">
        <f>SUM(D17:D25)</f>
        <v>76521.947</v>
      </c>
      <c r="E16" s="281"/>
      <c r="F16" s="22">
        <f>SUM(F17:F25)</f>
        <v>74670.469000000026</v>
      </c>
      <c r="G16" s="22">
        <f>SUM(G17:G25)</f>
        <v>83122.469000000026</v>
      </c>
      <c r="H16" s="20">
        <f>SUM(D16:G16)</f>
        <v>234314.88500000007</v>
      </c>
      <c r="I16" s="22">
        <f>SUM(I17:I25)</f>
        <v>72927.469000000012</v>
      </c>
      <c r="J16" s="22">
        <f>SUM(J17:J25)</f>
        <v>110378.46900000003</v>
      </c>
      <c r="K16" s="22">
        <f>K25+K23+K22+K21+K20+K19+K18+K17</f>
        <v>69979.619000000006</v>
      </c>
      <c r="L16" s="22">
        <f t="shared" ref="L16:L30" si="10">I16+J16+K16</f>
        <v>253285.55700000003</v>
      </c>
      <c r="M16" s="22">
        <f>M25+M23+M22+M21+M20+M19+M18+M17</f>
        <v>69024.619000000006</v>
      </c>
      <c r="N16" s="22">
        <f t="shared" ref="N16:O16" si="11">N25+N23+N22+N21+N20+N19+N18+N17</f>
        <v>134467.61900000001</v>
      </c>
      <c r="O16" s="22">
        <f t="shared" si="11"/>
        <v>132800.61900000001</v>
      </c>
      <c r="P16" s="20">
        <f>SUM(M16:O16)</f>
        <v>336292.85700000002</v>
      </c>
      <c r="Q16" s="22">
        <f>Q17+Q18+Q19+Q20+Q21+Q22+Q23+Q25</f>
        <v>66333.619000000021</v>
      </c>
      <c r="R16" s="22">
        <f>R17+R18+R19+R20+R21+R22+R23+R25</f>
        <v>62121.619000000013</v>
      </c>
      <c r="S16" s="22">
        <f>S17+S18+S19+S20+S21+S22+S23+S25</f>
        <v>64649.619000000013</v>
      </c>
      <c r="T16" s="20">
        <f>SUM(Q16:S16)</f>
        <v>193104.85700000005</v>
      </c>
      <c r="U16" s="142">
        <f t="shared" si="9"/>
        <v>1016998.1560000002</v>
      </c>
    </row>
    <row r="17" spans="1:22" s="13" customFormat="1">
      <c r="A17" s="143" t="s">
        <v>24</v>
      </c>
      <c r="B17" s="15" t="s">
        <v>17</v>
      </c>
      <c r="C17" s="27">
        <v>2.57</v>
      </c>
      <c r="D17" s="25">
        <f t="shared" ref="D17:D23" si="12">C17*$K$4</f>
        <v>14617.903</v>
      </c>
      <c r="E17" s="281">
        <v>2.8</v>
      </c>
      <c r="F17" s="25">
        <f>E17*K4</f>
        <v>15926.12</v>
      </c>
      <c r="G17" s="25">
        <f>E17*K4</f>
        <v>15926.12</v>
      </c>
      <c r="H17" s="20">
        <f t="shared" ref="H17:H30" si="13">SUM(D17:G17)</f>
        <v>46472.942999999999</v>
      </c>
      <c r="I17" s="25">
        <f>E17*K4</f>
        <v>15926.12</v>
      </c>
      <c r="J17" s="28">
        <f>E17*K4</f>
        <v>15926.12</v>
      </c>
      <c r="K17" s="28">
        <f>E17*K4</f>
        <v>15926.12</v>
      </c>
      <c r="L17" s="22">
        <f t="shared" si="10"/>
        <v>47778.36</v>
      </c>
      <c r="M17" s="28">
        <f>E17*K4</f>
        <v>15926.12</v>
      </c>
      <c r="N17" s="28">
        <f>E17*K4</f>
        <v>15926.12</v>
      </c>
      <c r="O17" s="28">
        <f>E17*K4</f>
        <v>15926.12</v>
      </c>
      <c r="P17" s="20">
        <f>SUM(M17:O17)</f>
        <v>47778.36</v>
      </c>
      <c r="Q17" s="28">
        <f>E17*K4</f>
        <v>15926.12</v>
      </c>
      <c r="R17" s="28">
        <f>E17*K4</f>
        <v>15926.12</v>
      </c>
      <c r="S17" s="28">
        <f>E17*K4</f>
        <v>15926.12</v>
      </c>
      <c r="T17" s="20">
        <f>SUM(Q17:S17)</f>
        <v>47778.36</v>
      </c>
      <c r="U17" s="144">
        <f t="shared" si="9"/>
        <v>189808.02299999999</v>
      </c>
    </row>
    <row r="18" spans="1:22" s="13" customFormat="1">
      <c r="A18" s="143" t="s">
        <v>25</v>
      </c>
      <c r="B18" s="15" t="s">
        <v>26</v>
      </c>
      <c r="C18" s="27">
        <v>2.99</v>
      </c>
      <c r="D18" s="25">
        <f t="shared" si="12"/>
        <v>17006.821000000004</v>
      </c>
      <c r="E18" s="281">
        <v>3.99</v>
      </c>
      <c r="F18" s="25">
        <f>E18*K4</f>
        <v>22694.721000000005</v>
      </c>
      <c r="G18" s="25">
        <f>F18</f>
        <v>22694.721000000005</v>
      </c>
      <c r="H18" s="20">
        <f t="shared" si="13"/>
        <v>62400.253000000012</v>
      </c>
      <c r="I18" s="25">
        <f>G18</f>
        <v>22694.721000000005</v>
      </c>
      <c r="J18" s="28">
        <f>I18</f>
        <v>22694.721000000005</v>
      </c>
      <c r="K18" s="28">
        <f>J18</f>
        <v>22694.721000000005</v>
      </c>
      <c r="L18" s="22">
        <f t="shared" si="10"/>
        <v>68084.163000000015</v>
      </c>
      <c r="M18" s="28">
        <f>K18</f>
        <v>22694.721000000005</v>
      </c>
      <c r="N18" s="28">
        <f>K18</f>
        <v>22694.721000000005</v>
      </c>
      <c r="O18" s="28">
        <f>M18</f>
        <v>22694.721000000005</v>
      </c>
      <c r="P18" s="20">
        <f>SUM(M18:O18)</f>
        <v>68084.163000000015</v>
      </c>
      <c r="Q18" s="28">
        <f>O18</f>
        <v>22694.721000000005</v>
      </c>
      <c r="R18" s="28">
        <f>O18</f>
        <v>22694.721000000005</v>
      </c>
      <c r="S18" s="28">
        <f>R18</f>
        <v>22694.721000000005</v>
      </c>
      <c r="T18" s="20">
        <f>SUM(Q18:S18)</f>
        <v>68084.163000000015</v>
      </c>
      <c r="U18" s="144">
        <f t="shared" si="9"/>
        <v>266652.74200000003</v>
      </c>
    </row>
    <row r="19" spans="1:22" s="13" customFormat="1" ht="15.75" thickBot="1">
      <c r="A19" s="146" t="s">
        <v>27</v>
      </c>
      <c r="B19" s="33" t="s">
        <v>30</v>
      </c>
      <c r="C19" s="48">
        <v>1.86</v>
      </c>
      <c r="D19" s="34">
        <f t="shared" ref="D19" si="14">C19*$K$4</f>
        <v>10579.494000000002</v>
      </c>
      <c r="E19" s="282">
        <v>2.2000000000000002</v>
      </c>
      <c r="F19" s="34">
        <f>E19*K4</f>
        <v>12513.380000000003</v>
      </c>
      <c r="G19" s="34">
        <f>E19*K4</f>
        <v>12513.380000000003</v>
      </c>
      <c r="H19" s="66">
        <f t="shared" si="13"/>
        <v>35608.454000000012</v>
      </c>
      <c r="I19" s="34">
        <f>E19*K4</f>
        <v>12513.380000000003</v>
      </c>
      <c r="J19" s="25">
        <f>E19*K4</f>
        <v>12513.380000000003</v>
      </c>
      <c r="K19" s="25">
        <f>E19*K4</f>
        <v>12513.380000000003</v>
      </c>
      <c r="L19" s="84">
        <f t="shared" si="10"/>
        <v>37540.140000000007</v>
      </c>
      <c r="M19" s="25">
        <f>E19*K4</f>
        <v>12513.380000000003</v>
      </c>
      <c r="N19" s="25">
        <f>E19*K4</f>
        <v>12513.380000000003</v>
      </c>
      <c r="O19" s="25">
        <f>E19*K4</f>
        <v>12513.380000000003</v>
      </c>
      <c r="P19" s="66">
        <f t="shared" ref="P19:P30" si="15">SUM(M19:O19)</f>
        <v>37540.140000000007</v>
      </c>
      <c r="Q19" s="25">
        <f>E19*K4</f>
        <v>12513.380000000003</v>
      </c>
      <c r="R19" s="25">
        <f>E19*K4</f>
        <v>12513.380000000003</v>
      </c>
      <c r="S19" s="25">
        <f>E19*K4</f>
        <v>12513.380000000003</v>
      </c>
      <c r="T19" s="66">
        <f t="shared" ref="T19:T30" si="16">SUM(Q19:S19)</f>
        <v>37540.140000000007</v>
      </c>
      <c r="U19" s="147">
        <f t="shared" si="9"/>
        <v>148228.87400000004</v>
      </c>
    </row>
    <row r="20" spans="1:22" s="13" customFormat="1" ht="18" customHeight="1" thickBot="1">
      <c r="A20" s="130" t="s">
        <v>28</v>
      </c>
      <c r="B20" s="131" t="s">
        <v>40</v>
      </c>
      <c r="C20" s="41"/>
      <c r="D20" s="38">
        <v>25729</v>
      </c>
      <c r="E20" s="283"/>
      <c r="F20" s="38">
        <v>5790</v>
      </c>
      <c r="G20" s="38">
        <v>13842</v>
      </c>
      <c r="H20" s="119">
        <f t="shared" si="13"/>
        <v>45361</v>
      </c>
      <c r="I20" s="40">
        <v>4047</v>
      </c>
      <c r="J20" s="40">
        <v>41498</v>
      </c>
      <c r="K20" s="40">
        <v>9631</v>
      </c>
      <c r="L20" s="68">
        <f t="shared" si="10"/>
        <v>55176</v>
      </c>
      <c r="M20" s="40">
        <v>8676</v>
      </c>
      <c r="N20" s="40">
        <v>74119</v>
      </c>
      <c r="O20" s="40">
        <v>72452</v>
      </c>
      <c r="P20" s="119">
        <f t="shared" si="15"/>
        <v>155247</v>
      </c>
      <c r="Q20" s="40">
        <v>5985</v>
      </c>
      <c r="R20" s="40">
        <v>1773</v>
      </c>
      <c r="S20" s="40">
        <v>3901</v>
      </c>
      <c r="T20" s="119">
        <f t="shared" si="16"/>
        <v>11659</v>
      </c>
      <c r="U20" s="125">
        <f t="shared" si="9"/>
        <v>267443</v>
      </c>
    </row>
    <row r="21" spans="1:22" s="13" customFormat="1">
      <c r="A21" s="148" t="s">
        <v>33</v>
      </c>
      <c r="B21" s="45" t="s">
        <v>39</v>
      </c>
      <c r="C21" s="128">
        <v>0.82</v>
      </c>
      <c r="D21" s="46">
        <f t="shared" si="12"/>
        <v>4664.0780000000004</v>
      </c>
      <c r="E21" s="285">
        <v>1</v>
      </c>
      <c r="F21" s="46">
        <f>E21*K4</f>
        <v>5687.9000000000005</v>
      </c>
      <c r="G21" s="46">
        <f>F21</f>
        <v>5687.9000000000005</v>
      </c>
      <c r="H21" s="98">
        <f t="shared" si="13"/>
        <v>16040.878000000001</v>
      </c>
      <c r="I21" s="46">
        <f>G21</f>
        <v>5687.9000000000005</v>
      </c>
      <c r="J21" s="159">
        <f t="shared" ref="J21:K23" si="17">I21</f>
        <v>5687.9000000000005</v>
      </c>
      <c r="K21" s="76">
        <f t="shared" si="17"/>
        <v>5687.9000000000005</v>
      </c>
      <c r="L21" s="85">
        <f t="shared" si="10"/>
        <v>17063.7</v>
      </c>
      <c r="M21" s="76">
        <f>K21</f>
        <v>5687.9000000000005</v>
      </c>
      <c r="N21" s="76">
        <f t="shared" ref="N21:O23" si="18">M21</f>
        <v>5687.9000000000005</v>
      </c>
      <c r="O21" s="76">
        <f t="shared" si="18"/>
        <v>5687.9000000000005</v>
      </c>
      <c r="P21" s="124">
        <f t="shared" si="15"/>
        <v>17063.7</v>
      </c>
      <c r="Q21" s="76">
        <f>O21</f>
        <v>5687.9000000000005</v>
      </c>
      <c r="R21" s="76">
        <f t="shared" ref="R21:S23" si="19">Q21</f>
        <v>5687.9000000000005</v>
      </c>
      <c r="S21" s="76">
        <f t="shared" si="19"/>
        <v>5687.9000000000005</v>
      </c>
      <c r="T21" s="124">
        <f t="shared" si="16"/>
        <v>17063.7</v>
      </c>
      <c r="U21" s="149">
        <f t="shared" si="9"/>
        <v>67231.978000000003</v>
      </c>
    </row>
    <row r="22" spans="1:22" s="13" customFormat="1">
      <c r="A22" s="143" t="s">
        <v>34</v>
      </c>
      <c r="B22" s="15" t="s">
        <v>41</v>
      </c>
      <c r="C22" s="48">
        <v>0.12</v>
      </c>
      <c r="D22" s="25">
        <f t="shared" si="12"/>
        <v>682.548</v>
      </c>
      <c r="E22" s="282">
        <v>0.2</v>
      </c>
      <c r="F22" s="25">
        <f>E22*K4</f>
        <v>1137.5800000000002</v>
      </c>
      <c r="G22" s="25">
        <f>F22</f>
        <v>1137.5800000000002</v>
      </c>
      <c r="H22" s="20">
        <f t="shared" si="13"/>
        <v>2957.9080000000004</v>
      </c>
      <c r="I22" s="25">
        <f>G22</f>
        <v>1137.5800000000002</v>
      </c>
      <c r="J22" s="58">
        <f t="shared" si="17"/>
        <v>1137.5800000000002</v>
      </c>
      <c r="K22" s="28">
        <f t="shared" si="17"/>
        <v>1137.5800000000002</v>
      </c>
      <c r="L22" s="22">
        <f t="shared" si="10"/>
        <v>3412.7400000000007</v>
      </c>
      <c r="M22" s="28">
        <f>K22</f>
        <v>1137.5800000000002</v>
      </c>
      <c r="N22" s="28">
        <f t="shared" si="18"/>
        <v>1137.5800000000002</v>
      </c>
      <c r="O22" s="28">
        <f t="shared" si="18"/>
        <v>1137.5800000000002</v>
      </c>
      <c r="P22" s="66">
        <f t="shared" si="15"/>
        <v>3412.7400000000007</v>
      </c>
      <c r="Q22" s="28">
        <f>O22</f>
        <v>1137.5800000000002</v>
      </c>
      <c r="R22" s="28">
        <f t="shared" si="19"/>
        <v>1137.5800000000002</v>
      </c>
      <c r="S22" s="28">
        <f t="shared" si="19"/>
        <v>1137.5800000000002</v>
      </c>
      <c r="T22" s="66">
        <f t="shared" si="16"/>
        <v>3412.7400000000007</v>
      </c>
      <c r="U22" s="144">
        <f t="shared" si="9"/>
        <v>13196.128000000004</v>
      </c>
    </row>
    <row r="23" spans="1:22" s="13" customFormat="1">
      <c r="A23" s="143" t="s">
        <v>35</v>
      </c>
      <c r="B23" s="15" t="s">
        <v>29</v>
      </c>
      <c r="C23" s="27">
        <v>0.56999999999999995</v>
      </c>
      <c r="D23" s="25">
        <f t="shared" si="12"/>
        <v>3242.1030000000001</v>
      </c>
      <c r="E23" s="281">
        <v>0.42</v>
      </c>
      <c r="F23" s="25">
        <f>E23*K4</f>
        <v>2388.9180000000001</v>
      </c>
      <c r="G23" s="25">
        <f>F23</f>
        <v>2388.9180000000001</v>
      </c>
      <c r="H23" s="20">
        <f t="shared" si="13"/>
        <v>8020.3590000000004</v>
      </c>
      <c r="I23" s="25">
        <f>G23</f>
        <v>2388.9180000000001</v>
      </c>
      <c r="J23" s="28">
        <f t="shared" si="17"/>
        <v>2388.9180000000001</v>
      </c>
      <c r="K23" s="28">
        <f t="shared" si="17"/>
        <v>2388.9180000000001</v>
      </c>
      <c r="L23" s="22">
        <f t="shared" si="10"/>
        <v>7166.7540000000008</v>
      </c>
      <c r="M23" s="28">
        <f>K23</f>
        <v>2388.9180000000001</v>
      </c>
      <c r="N23" s="28">
        <f t="shared" si="18"/>
        <v>2388.9180000000001</v>
      </c>
      <c r="O23" s="28">
        <f t="shared" si="18"/>
        <v>2388.9180000000001</v>
      </c>
      <c r="P23" s="66">
        <f t="shared" si="15"/>
        <v>7166.7540000000008</v>
      </c>
      <c r="Q23" s="28">
        <f>O23</f>
        <v>2388.9180000000001</v>
      </c>
      <c r="R23" s="28">
        <f t="shared" si="19"/>
        <v>2388.9180000000001</v>
      </c>
      <c r="S23" s="28">
        <f t="shared" si="19"/>
        <v>2388.9180000000001</v>
      </c>
      <c r="T23" s="66">
        <f t="shared" si="16"/>
        <v>7166.7540000000008</v>
      </c>
      <c r="U23" s="144">
        <f t="shared" si="9"/>
        <v>29520.621000000003</v>
      </c>
    </row>
    <row r="24" spans="1:22" s="13" customFormat="1">
      <c r="A24" s="143" t="s">
        <v>124</v>
      </c>
      <c r="B24" s="15" t="s">
        <v>123</v>
      </c>
      <c r="C24" s="27"/>
      <c r="D24" s="25"/>
      <c r="E24" s="281">
        <v>1.5</v>
      </c>
      <c r="F24" s="25">
        <f>E24*K4</f>
        <v>8531.85</v>
      </c>
      <c r="G24" s="25">
        <f>F24</f>
        <v>8531.85</v>
      </c>
      <c r="H24" s="20">
        <f>G24+F24+D24</f>
        <v>17063.7</v>
      </c>
      <c r="I24" s="25">
        <f>G24</f>
        <v>8531.85</v>
      </c>
      <c r="J24" s="28">
        <f>I24</f>
        <v>8531.85</v>
      </c>
      <c r="K24" s="28">
        <f>J24</f>
        <v>8531.85</v>
      </c>
      <c r="L24" s="22">
        <f>K24+J24+I24</f>
        <v>25595.550000000003</v>
      </c>
      <c r="M24" s="28">
        <f>K24</f>
        <v>8531.85</v>
      </c>
      <c r="N24" s="28">
        <f>M24</f>
        <v>8531.85</v>
      </c>
      <c r="O24" s="28">
        <f>N24</f>
        <v>8531.85</v>
      </c>
      <c r="P24" s="66">
        <f>O24+N24+M24</f>
        <v>25595.550000000003</v>
      </c>
      <c r="Q24" s="28">
        <f>O24</f>
        <v>8531.85</v>
      </c>
      <c r="R24" s="28">
        <f>Q24</f>
        <v>8531.85</v>
      </c>
      <c r="S24" s="28">
        <f>R24</f>
        <v>8531.85</v>
      </c>
      <c r="T24" s="66">
        <f>S24+R24+Q24</f>
        <v>25595.550000000003</v>
      </c>
      <c r="U24" s="144">
        <f t="shared" si="9"/>
        <v>93850.35</v>
      </c>
    </row>
    <row r="25" spans="1:22" s="13" customFormat="1">
      <c r="A25" s="143" t="s">
        <v>125</v>
      </c>
      <c r="B25" s="15" t="s">
        <v>84</v>
      </c>
      <c r="C25" s="27"/>
      <c r="D25" s="25">
        <f>SUM(D27:D30)</f>
        <v>0</v>
      </c>
      <c r="E25" s="281"/>
      <c r="F25" s="25">
        <f>SUM(F27:F30)</f>
        <v>0</v>
      </c>
      <c r="G25" s="29">
        <f>SUM(G27:G30)</f>
        <v>400</v>
      </c>
      <c r="H25" s="20">
        <f t="shared" si="13"/>
        <v>400</v>
      </c>
      <c r="I25" s="25">
        <f>SUM(I27:I30)</f>
        <v>0</v>
      </c>
      <c r="J25" s="28">
        <f>SUM(J27:J30)</f>
        <v>0</v>
      </c>
      <c r="K25" s="30">
        <f>SUM(K27:K30)</f>
        <v>0</v>
      </c>
      <c r="L25" s="22">
        <f t="shared" si="10"/>
        <v>0</v>
      </c>
      <c r="M25" s="28">
        <f>SUM(M27:M30)</f>
        <v>0</v>
      </c>
      <c r="N25" s="28">
        <v>0</v>
      </c>
      <c r="O25" s="28">
        <f>SUM(O27:O30)</f>
        <v>0</v>
      </c>
      <c r="P25" s="66">
        <f t="shared" si="15"/>
        <v>0</v>
      </c>
      <c r="Q25" s="28">
        <f>SUM(Q27:Q30)</f>
        <v>0</v>
      </c>
      <c r="R25" s="28">
        <f>SUM(R27:R30)</f>
        <v>0</v>
      </c>
      <c r="S25" s="30">
        <f>SUM(S27:S30)</f>
        <v>400</v>
      </c>
      <c r="T25" s="66">
        <f t="shared" si="16"/>
        <v>400</v>
      </c>
      <c r="U25" s="144">
        <f t="shared" si="9"/>
        <v>800</v>
      </c>
    </row>
    <row r="26" spans="1:22" s="13" customFormat="1">
      <c r="A26" s="143"/>
      <c r="B26" s="15" t="s">
        <v>44</v>
      </c>
      <c r="C26" s="27"/>
      <c r="D26" s="25"/>
      <c r="E26" s="281"/>
      <c r="F26" s="25"/>
      <c r="G26" s="25"/>
      <c r="H26" s="20">
        <f t="shared" si="13"/>
        <v>0</v>
      </c>
      <c r="I26" s="28"/>
      <c r="J26" s="28"/>
      <c r="K26" s="28"/>
      <c r="L26" s="22">
        <f t="shared" si="10"/>
        <v>0</v>
      </c>
      <c r="M26" s="28"/>
      <c r="N26" s="28"/>
      <c r="O26" s="28"/>
      <c r="P26" s="66">
        <f t="shared" si="15"/>
        <v>0</v>
      </c>
      <c r="Q26" s="28"/>
      <c r="R26" s="28"/>
      <c r="S26" s="28"/>
      <c r="T26" s="66">
        <f t="shared" si="16"/>
        <v>0</v>
      </c>
      <c r="U26" s="144">
        <f t="shared" si="9"/>
        <v>0</v>
      </c>
    </row>
    <row r="27" spans="1:22" s="13" customFormat="1">
      <c r="A27" s="143"/>
      <c r="B27" s="15" t="s">
        <v>51</v>
      </c>
      <c r="C27" s="27"/>
      <c r="D27" s="25"/>
      <c r="E27" s="281"/>
      <c r="F27" s="25"/>
      <c r="G27" s="25"/>
      <c r="H27" s="20">
        <f t="shared" si="13"/>
        <v>0</v>
      </c>
      <c r="I27" s="28"/>
      <c r="J27" s="28"/>
      <c r="K27" s="28"/>
      <c r="L27" s="22">
        <f t="shared" si="10"/>
        <v>0</v>
      </c>
      <c r="M27" s="30"/>
      <c r="N27" s="28"/>
      <c r="O27" s="28"/>
      <c r="P27" s="66">
        <f t="shared" si="15"/>
        <v>0</v>
      </c>
      <c r="Q27" s="28"/>
      <c r="R27" s="28"/>
      <c r="S27" s="28"/>
      <c r="T27" s="66">
        <f t="shared" si="16"/>
        <v>0</v>
      </c>
      <c r="U27" s="144">
        <f t="shared" si="9"/>
        <v>0</v>
      </c>
    </row>
    <row r="28" spans="1:22" s="13" customFormat="1">
      <c r="A28" s="143"/>
      <c r="B28" s="15" t="s">
        <v>53</v>
      </c>
      <c r="C28" s="27"/>
      <c r="D28" s="25"/>
      <c r="E28" s="281"/>
      <c r="F28" s="25"/>
      <c r="G28" s="25"/>
      <c r="H28" s="20">
        <f t="shared" si="13"/>
        <v>0</v>
      </c>
      <c r="I28" s="28"/>
      <c r="J28" s="28"/>
      <c r="K28" s="30"/>
      <c r="L28" s="22">
        <f t="shared" si="10"/>
        <v>0</v>
      </c>
      <c r="M28" s="28"/>
      <c r="N28" s="28"/>
      <c r="O28" s="30"/>
      <c r="P28" s="66">
        <f t="shared" si="15"/>
        <v>0</v>
      </c>
      <c r="Q28" s="28"/>
      <c r="R28" s="28"/>
      <c r="S28" s="28"/>
      <c r="T28" s="66">
        <f t="shared" si="16"/>
        <v>0</v>
      </c>
      <c r="U28" s="144">
        <f t="shared" si="9"/>
        <v>0</v>
      </c>
    </row>
    <row r="29" spans="1:22" s="13" customFormat="1">
      <c r="A29" s="143"/>
      <c r="B29" s="15" t="s">
        <v>59</v>
      </c>
      <c r="C29" s="27"/>
      <c r="D29" s="25"/>
      <c r="E29" s="281"/>
      <c r="F29" s="25"/>
      <c r="G29" s="25"/>
      <c r="H29" s="20">
        <f t="shared" si="13"/>
        <v>0</v>
      </c>
      <c r="I29" s="28"/>
      <c r="J29" s="28"/>
      <c r="K29" s="28"/>
      <c r="L29" s="22">
        <f t="shared" si="10"/>
        <v>0</v>
      </c>
      <c r="M29" s="28"/>
      <c r="N29" s="28"/>
      <c r="O29" s="28"/>
      <c r="P29" s="66">
        <f t="shared" si="15"/>
        <v>0</v>
      </c>
      <c r="Q29" s="28"/>
      <c r="R29" s="28"/>
      <c r="S29" s="28"/>
      <c r="T29" s="66">
        <f t="shared" si="16"/>
        <v>0</v>
      </c>
      <c r="U29" s="144">
        <f t="shared" si="9"/>
        <v>0</v>
      </c>
    </row>
    <row r="30" spans="1:22" s="13" customFormat="1">
      <c r="A30" s="143"/>
      <c r="B30" s="15" t="s">
        <v>83</v>
      </c>
      <c r="C30" s="27"/>
      <c r="D30" s="25"/>
      <c r="E30" s="281"/>
      <c r="F30" s="25"/>
      <c r="G30" s="29">
        <v>400</v>
      </c>
      <c r="H30" s="20">
        <f t="shared" si="13"/>
        <v>400</v>
      </c>
      <c r="I30" s="28"/>
      <c r="J30" s="28"/>
      <c r="K30" s="30"/>
      <c r="L30" s="22">
        <f t="shared" si="10"/>
        <v>0</v>
      </c>
      <c r="M30" s="28"/>
      <c r="N30" s="28"/>
      <c r="O30" s="28"/>
      <c r="P30" s="66">
        <f t="shared" si="15"/>
        <v>0</v>
      </c>
      <c r="Q30" s="28"/>
      <c r="R30" s="30"/>
      <c r="S30" s="30">
        <v>400</v>
      </c>
      <c r="T30" s="66">
        <f t="shared" si="16"/>
        <v>400</v>
      </c>
      <c r="U30" s="144">
        <f t="shared" si="9"/>
        <v>800</v>
      </c>
    </row>
    <row r="31" spans="1:22" s="13" customFormat="1" ht="15.75" thickBot="1">
      <c r="A31" s="150"/>
      <c r="B31" s="151" t="s">
        <v>43</v>
      </c>
      <c r="C31" s="160"/>
      <c r="D31" s="153"/>
      <c r="E31" s="319"/>
      <c r="F31" s="154"/>
      <c r="G31" s="154"/>
      <c r="H31" s="155">
        <f>H11-H16</f>
        <v>36855.194999999949</v>
      </c>
      <c r="I31" s="156"/>
      <c r="J31" s="156"/>
      <c r="K31" s="156"/>
      <c r="L31" s="155">
        <f>L11-L16</f>
        <v>25130.45299999998</v>
      </c>
      <c r="M31" s="157"/>
      <c r="N31" s="157"/>
      <c r="O31" s="156"/>
      <c r="P31" s="155">
        <f>P11-P16</f>
        <v>-76170.707000000024</v>
      </c>
      <c r="Q31" s="156"/>
      <c r="R31" s="156"/>
      <c r="S31" s="156"/>
      <c r="T31" s="155">
        <f>T11-T16</f>
        <v>106564.50299999994</v>
      </c>
      <c r="U31" s="158">
        <f t="shared" si="9"/>
        <v>92379.443999999843</v>
      </c>
      <c r="V31" s="126"/>
    </row>
    <row r="32" spans="1:22">
      <c r="A32" s="7"/>
      <c r="B32" s="7"/>
      <c r="C32" s="5"/>
      <c r="D32" s="6"/>
      <c r="E32" s="6"/>
      <c r="F32" s="5"/>
      <c r="G32" s="5"/>
      <c r="H32" s="5"/>
      <c r="I32" s="5"/>
      <c r="J32" s="9"/>
      <c r="K32" s="9"/>
      <c r="L32" s="9"/>
      <c r="M32" s="11"/>
      <c r="N32" s="11"/>
      <c r="O32" s="11"/>
      <c r="P32" s="11"/>
      <c r="Q32" s="11"/>
      <c r="R32" s="11"/>
      <c r="S32" s="11"/>
      <c r="T32" s="11"/>
      <c r="U32" s="11"/>
    </row>
    <row r="33" spans="1:21">
      <c r="A33" s="7"/>
      <c r="B33" s="7"/>
      <c r="C33" s="5"/>
      <c r="D33" s="5"/>
      <c r="E33" s="5"/>
      <c r="F33" s="5"/>
      <c r="G33" s="5"/>
      <c r="H33" s="6"/>
      <c r="I33" s="5"/>
      <c r="J33" s="9"/>
      <c r="K33" s="9"/>
      <c r="L33" s="9"/>
      <c r="M33" s="11"/>
      <c r="N33" s="11"/>
      <c r="O33" s="11"/>
      <c r="P33" s="53"/>
      <c r="Q33" s="11"/>
      <c r="R33" s="11"/>
      <c r="S33" s="11"/>
      <c r="T33" s="11"/>
      <c r="U33" s="11"/>
    </row>
  </sheetData>
  <mergeCells count="4">
    <mergeCell ref="A1:L1"/>
    <mergeCell ref="A2:L2"/>
    <mergeCell ref="A3:L3"/>
    <mergeCell ref="R3:V3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20</vt:i4>
      </vt:variant>
    </vt:vector>
  </HeadingPairs>
  <TitlesOfParts>
    <vt:vector size="42" baseType="lpstr">
      <vt:lpstr>Кал 2</vt:lpstr>
      <vt:lpstr>Калинина 2а</vt:lpstr>
      <vt:lpstr>кал3</vt:lpstr>
      <vt:lpstr>Калинина 4а</vt:lpstr>
      <vt:lpstr>кал5</vt:lpstr>
      <vt:lpstr>кал7</vt:lpstr>
      <vt:lpstr>кал9</vt:lpstr>
      <vt:lpstr>кал11</vt:lpstr>
      <vt:lpstr>кал13</vt:lpstr>
      <vt:lpstr>кал14</vt:lpstr>
      <vt:lpstr>кал15</vt:lpstr>
      <vt:lpstr>чап45</vt:lpstr>
      <vt:lpstr>чап47</vt:lpstr>
      <vt:lpstr>чап49</vt:lpstr>
      <vt:lpstr>чап51</vt:lpstr>
      <vt:lpstr>сов37</vt:lpstr>
      <vt:lpstr>Космонавтов 2</vt:lpstr>
      <vt:lpstr>Космонавтов 4</vt:lpstr>
      <vt:lpstr>Космонавтов 6</vt:lpstr>
      <vt:lpstr>Космонавтов 8</vt:lpstr>
      <vt:lpstr>Космонавтов 8А</vt:lpstr>
      <vt:lpstr>Космон 8Б</vt:lpstr>
      <vt:lpstr>'Кал 2'!Область_печати</vt:lpstr>
      <vt:lpstr>кал11!Область_печати</vt:lpstr>
      <vt:lpstr>кал14!Область_печати</vt:lpstr>
      <vt:lpstr>кал15!Область_печати</vt:lpstr>
      <vt:lpstr>кал3!Область_печати</vt:lpstr>
      <vt:lpstr>кал5!Область_печати</vt:lpstr>
      <vt:lpstr>кал7!Область_печати</vt:lpstr>
      <vt:lpstr>кал9!Область_печати</vt:lpstr>
      <vt:lpstr>'Калинина 2а'!Область_печати</vt:lpstr>
      <vt:lpstr>'Калинина 4а'!Область_печати</vt:lpstr>
      <vt:lpstr>'Космон 8Б'!Область_печати</vt:lpstr>
      <vt:lpstr>'Космонавтов 2'!Область_печати</vt:lpstr>
      <vt:lpstr>'Космонавтов 4'!Область_печати</vt:lpstr>
      <vt:lpstr>'Космонавтов 6'!Область_печати</vt:lpstr>
      <vt:lpstr>'Космонавтов 8'!Область_печати</vt:lpstr>
      <vt:lpstr>'Космонавтов 8А'!Область_печати</vt:lpstr>
      <vt:lpstr>чап45!Область_печати</vt:lpstr>
      <vt:lpstr>чап47!Область_печати</vt:lpstr>
      <vt:lpstr>чап49!Область_печати</vt:lpstr>
      <vt:lpstr>чап51!Область_печати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2023-01-25T11:23:17Z</dcterms:modified>
</cp:coreProperties>
</file>